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Вып. ИП 2020год\Отчет выполнения ИП 2020г\Отчет ИП 2020г. IV кв\Отчет 4 кв 2020г.по форм 10-20  пр. МЭ №  320\"/>
    </mc:Choice>
  </mc:AlternateContent>
  <xr:revisionPtr revIDLastSave="0" documentId="13_ncr:1_{4713F3C9-8836-475B-BAC5-0CDD4D4230DA}" xr6:coauthVersionLast="46" xr6:coauthVersionMax="46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7 осн этапы ИП" sheetId="17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17 осн этапы ИП'!$A$1:$BC$91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17 осн этапы ИП'!$A$1:$BE$95</definedName>
  </definedNames>
  <calcPr calcId="191029" refMode="R1C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C65" i="17" l="1"/>
  <c r="BB65" i="17"/>
  <c r="BA65" i="17"/>
  <c r="AY90" i="17" l="1"/>
  <c r="AY89" i="17"/>
  <c r="AY88" i="17"/>
  <c r="AY87" i="17"/>
  <c r="AY86" i="17"/>
  <c r="AY83" i="17"/>
  <c r="AY80" i="17"/>
  <c r="AY79" i="17"/>
  <c r="AY77" i="17"/>
  <c r="AY76" i="17"/>
  <c r="AY73" i="17"/>
  <c r="AY72" i="17"/>
  <c r="AY71" i="17"/>
  <c r="AY69" i="17"/>
  <c r="AY68" i="17"/>
  <c r="AY67" i="17"/>
  <c r="AY66" i="17"/>
  <c r="AY65" i="17" s="1"/>
  <c r="AY64" i="17"/>
  <c r="AY63" i="17"/>
  <c r="AY44" i="17"/>
  <c r="AY43" i="17"/>
  <c r="AY42" i="17"/>
  <c r="AY41" i="17"/>
  <c r="AY40" i="17"/>
  <c r="AY39" i="17" s="1"/>
  <c r="AY60" i="17"/>
  <c r="AY59" i="17"/>
  <c r="AY58" i="17"/>
  <c r="AY57" i="17"/>
  <c r="AY56" i="17"/>
  <c r="AY55" i="17"/>
  <c r="AY54" i="17"/>
  <c r="AY53" i="17"/>
  <c r="AY52" i="17"/>
  <c r="AY51" i="17"/>
  <c r="AY50" i="17"/>
  <c r="AY49" i="17"/>
  <c r="AY48" i="17"/>
  <c r="AY47" i="17"/>
  <c r="AY46" i="17"/>
  <c r="AY45" i="17"/>
  <c r="AY37" i="17"/>
  <c r="AY38" i="17"/>
  <c r="AT80" i="17"/>
  <c r="AT38" i="17"/>
  <c r="AT37" i="17"/>
  <c r="AV44" i="17"/>
  <c r="AT44" i="17" s="1"/>
  <c r="AV43" i="17"/>
  <c r="AT43" i="17" s="1"/>
  <c r="AV42" i="17"/>
  <c r="AT42" i="17" s="1"/>
  <c r="AV41" i="17"/>
  <c r="AT41" i="17" s="1"/>
  <c r="AV40" i="17"/>
  <c r="AT40" i="17" s="1"/>
  <c r="AT60" i="17"/>
  <c r="AT59" i="17"/>
  <c r="AT58" i="17"/>
  <c r="AT57" i="17"/>
  <c r="AT56" i="17"/>
  <c r="AT55" i="17"/>
  <c r="AT54" i="17"/>
  <c r="AT53" i="17"/>
  <c r="AT52" i="17"/>
  <c r="AT51" i="17"/>
  <c r="AT50" i="17"/>
  <c r="AT49" i="17"/>
  <c r="AT48" i="17"/>
  <c r="AT47" i="17"/>
  <c r="AT46" i="17"/>
  <c r="AT64" i="17"/>
  <c r="AT63" i="17"/>
  <c r="AT73" i="17"/>
  <c r="AT72" i="17"/>
  <c r="AT71" i="17"/>
  <c r="AT69" i="17"/>
  <c r="AT68" i="17"/>
  <c r="AT67" i="17"/>
  <c r="AT66" i="17"/>
  <c r="AT77" i="17"/>
  <c r="AT76" i="17"/>
  <c r="AT79" i="17"/>
  <c r="AT83" i="17"/>
  <c r="AT89" i="17"/>
  <c r="AT88" i="17"/>
  <c r="AT87" i="17"/>
  <c r="AT86" i="17"/>
  <c r="AT90" i="17"/>
  <c r="AT70" i="17" l="1"/>
  <c r="O38" i="17"/>
  <c r="O37" i="17"/>
  <c r="O44" i="17"/>
  <c r="O43" i="17"/>
  <c r="O42" i="17"/>
  <c r="O41" i="17"/>
  <c r="O40" i="17"/>
  <c r="O60" i="17"/>
  <c r="O59" i="17"/>
  <c r="O58" i="17"/>
  <c r="O57" i="17"/>
  <c r="O56" i="17"/>
  <c r="O55" i="17"/>
  <c r="O54" i="17"/>
  <c r="O53" i="17"/>
  <c r="O52" i="17"/>
  <c r="O51" i="17"/>
  <c r="O50" i="17"/>
  <c r="O49" i="17"/>
  <c r="O48" i="17"/>
  <c r="O47" i="17"/>
  <c r="O46" i="17"/>
  <c r="O64" i="17"/>
  <c r="O63" i="17"/>
  <c r="O69" i="17"/>
  <c r="O68" i="17"/>
  <c r="O67" i="17"/>
  <c r="O66" i="17"/>
  <c r="O73" i="17"/>
  <c r="O72" i="17"/>
  <c r="O71" i="17"/>
  <c r="O77" i="17"/>
  <c r="O76" i="17"/>
  <c r="O80" i="17"/>
  <c r="O79" i="17"/>
  <c r="O83" i="17"/>
  <c r="O89" i="17"/>
  <c r="O88" i="17"/>
  <c r="O87" i="17"/>
  <c r="O86" i="17"/>
  <c r="O90" i="17"/>
  <c r="J38" i="17"/>
  <c r="J37" i="17"/>
  <c r="J44" i="17"/>
  <c r="J43" i="17"/>
  <c r="J42" i="17"/>
  <c r="J41" i="17"/>
  <c r="J40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64" i="17"/>
  <c r="J63" i="17"/>
  <c r="J69" i="17"/>
  <c r="J68" i="17"/>
  <c r="J67" i="17"/>
  <c r="J66" i="17"/>
  <c r="J73" i="17"/>
  <c r="J72" i="17"/>
  <c r="J71" i="17"/>
  <c r="J77" i="17"/>
  <c r="J76" i="17"/>
  <c r="J80" i="17"/>
  <c r="J79" i="17"/>
  <c r="J83" i="17"/>
  <c r="J89" i="17"/>
  <c r="J88" i="17"/>
  <c r="J87" i="17"/>
  <c r="J86" i="17"/>
  <c r="J90" i="17"/>
  <c r="AJ38" i="17"/>
  <c r="AJ37" i="17"/>
  <c r="AJ44" i="17"/>
  <c r="AJ43" i="17"/>
  <c r="AJ42" i="17"/>
  <c r="AJ41" i="17"/>
  <c r="AJ40" i="17"/>
  <c r="AJ60" i="17"/>
  <c r="AJ59" i="17"/>
  <c r="AJ58" i="17"/>
  <c r="AJ57" i="17"/>
  <c r="AJ56" i="17"/>
  <c r="AJ55" i="17"/>
  <c r="AJ54" i="17"/>
  <c r="AJ53" i="17"/>
  <c r="AJ52" i="17"/>
  <c r="AJ51" i="17"/>
  <c r="AJ50" i="17"/>
  <c r="AJ49" i="17"/>
  <c r="AJ48" i="17"/>
  <c r="AJ47" i="17"/>
  <c r="AJ46" i="17"/>
  <c r="AJ64" i="17"/>
  <c r="AJ63" i="17"/>
  <c r="AJ69" i="17"/>
  <c r="AJ68" i="17"/>
  <c r="AJ67" i="17"/>
  <c r="AJ66" i="17"/>
  <c r="AJ73" i="17"/>
  <c r="AJ72" i="17"/>
  <c r="AJ71" i="17"/>
  <c r="AJ77" i="17"/>
  <c r="AJ76" i="17"/>
  <c r="AJ80" i="17"/>
  <c r="AJ79" i="17"/>
  <c r="AJ89" i="17"/>
  <c r="AJ88" i="17"/>
  <c r="AJ87" i="17"/>
  <c r="AJ86" i="17"/>
  <c r="AJ90" i="17"/>
  <c r="AL83" i="17"/>
  <c r="AJ83" i="17" s="1"/>
  <c r="AQ83" i="17"/>
  <c r="AO83" i="17" s="1"/>
  <c r="AO37" i="17"/>
  <c r="AO40" i="17"/>
  <c r="AQ38" i="17"/>
  <c r="AO38" i="17" s="1"/>
  <c r="AQ46" i="17"/>
  <c r="AR58" i="17"/>
  <c r="AQ58" i="17"/>
  <c r="AR59" i="17"/>
  <c r="AQ59" i="17"/>
  <c r="AO42" i="17"/>
  <c r="AR56" i="17"/>
  <c r="AQ56" i="17"/>
  <c r="AO56" i="17" s="1"/>
  <c r="AQ53" i="17"/>
  <c r="AO53" i="17" s="1"/>
  <c r="AQ54" i="17"/>
  <c r="AR57" i="17"/>
  <c r="AQ57" i="17"/>
  <c r="AO57" i="17" s="1"/>
  <c r="AQ50" i="17"/>
  <c r="AO50" i="17" s="1"/>
  <c r="AQ60" i="17"/>
  <c r="AO60" i="17" s="1"/>
  <c r="AQ55" i="17"/>
  <c r="AR55" i="17"/>
  <c r="AQ48" i="17"/>
  <c r="AO48" i="17" s="1"/>
  <c r="AQ51" i="17"/>
  <c r="AQ47" i="17"/>
  <c r="AR47" i="17"/>
  <c r="AR48" i="17"/>
  <c r="AR63" i="17"/>
  <c r="AQ63" i="17"/>
  <c r="AR68" i="17"/>
  <c r="AQ68" i="17"/>
  <c r="AO68" i="17" s="1"/>
  <c r="AR67" i="17"/>
  <c r="AQ67" i="17"/>
  <c r="AR66" i="17"/>
  <c r="AQ66" i="17"/>
  <c r="AO66" i="17" s="1"/>
  <c r="AR86" i="17"/>
  <c r="AO86" i="17" s="1"/>
  <c r="AR87" i="17"/>
  <c r="AO87" i="17" s="1"/>
  <c r="AR88" i="17"/>
  <c r="AR89" i="17"/>
  <c r="AO89" i="17" s="1"/>
  <c r="AO44" i="17"/>
  <c r="AO43" i="17"/>
  <c r="AO41" i="17"/>
  <c r="AO54" i="17"/>
  <c r="AO52" i="17"/>
  <c r="AO51" i="17"/>
  <c r="AO49" i="17"/>
  <c r="AO46" i="17"/>
  <c r="AO64" i="17"/>
  <c r="AO63" i="17"/>
  <c r="AO73" i="17"/>
  <c r="AO72" i="17"/>
  <c r="AO71" i="17"/>
  <c r="AO69" i="17"/>
  <c r="AO77" i="17"/>
  <c r="AO76" i="17"/>
  <c r="AO80" i="17"/>
  <c r="AO79" i="17"/>
  <c r="AO88" i="17"/>
  <c r="AO90" i="17"/>
  <c r="AR45" i="17" l="1"/>
  <c r="AO70" i="17"/>
  <c r="AO47" i="17"/>
  <c r="AO39" i="17"/>
  <c r="AQ45" i="17"/>
  <c r="AO67" i="17"/>
  <c r="AO65" i="17" s="1"/>
  <c r="AO55" i="17"/>
  <c r="AO59" i="17"/>
  <c r="AE59" i="17" s="1"/>
  <c r="AO58" i="17"/>
  <c r="AI90" i="17"/>
  <c r="AH90" i="17"/>
  <c r="AG90" i="17"/>
  <c r="AF90" i="17"/>
  <c r="AE90" i="17"/>
  <c r="AI89" i="17"/>
  <c r="AH89" i="17"/>
  <c r="AG89" i="17"/>
  <c r="AF89" i="17"/>
  <c r="AE89" i="17"/>
  <c r="AI88" i="17"/>
  <c r="AH88" i="17"/>
  <c r="AG88" i="17"/>
  <c r="AF88" i="17"/>
  <c r="AE88" i="17"/>
  <c r="AI87" i="17"/>
  <c r="AH87" i="17"/>
  <c r="AG87" i="17"/>
  <c r="AF87" i="17"/>
  <c r="AE87" i="17"/>
  <c r="AI86" i="17"/>
  <c r="AH86" i="17"/>
  <c r="AG86" i="17"/>
  <c r="AF86" i="17"/>
  <c r="AE86" i="17"/>
  <c r="AI83" i="17"/>
  <c r="AH83" i="17"/>
  <c r="AG83" i="17"/>
  <c r="AF83" i="17"/>
  <c r="AE83" i="17"/>
  <c r="AI80" i="17"/>
  <c r="AH80" i="17"/>
  <c r="AG80" i="17"/>
  <c r="AF80" i="17"/>
  <c r="AE80" i="17"/>
  <c r="AI79" i="17"/>
  <c r="AH79" i="17"/>
  <c r="AG79" i="17"/>
  <c r="AF79" i="17"/>
  <c r="AE79" i="17"/>
  <c r="AI77" i="17"/>
  <c r="AH77" i="17"/>
  <c r="AG77" i="17"/>
  <c r="AF77" i="17"/>
  <c r="AE77" i="17"/>
  <c r="AI76" i="17"/>
  <c r="AH76" i="17"/>
  <c r="AG76" i="17"/>
  <c r="AF76" i="17"/>
  <c r="AE76" i="17"/>
  <c r="AI73" i="17"/>
  <c r="AH73" i="17"/>
  <c r="AG73" i="17"/>
  <c r="AF73" i="17"/>
  <c r="AE73" i="17"/>
  <c r="AI72" i="17"/>
  <c r="AH72" i="17"/>
  <c r="AG72" i="17"/>
  <c r="AF72" i="17"/>
  <c r="AE72" i="17"/>
  <c r="AI71" i="17"/>
  <c r="AH71" i="17"/>
  <c r="AG71" i="17"/>
  <c r="AF71" i="17"/>
  <c r="AE71" i="17"/>
  <c r="AI69" i="17"/>
  <c r="AH69" i="17"/>
  <c r="AG69" i="17"/>
  <c r="AF69" i="17"/>
  <c r="AE69" i="17"/>
  <c r="AI68" i="17"/>
  <c r="AH68" i="17"/>
  <c r="AG68" i="17"/>
  <c r="AF68" i="17"/>
  <c r="AE68" i="17"/>
  <c r="AI67" i="17"/>
  <c r="AH67" i="17"/>
  <c r="AG67" i="17"/>
  <c r="AF67" i="17"/>
  <c r="AE67" i="17"/>
  <c r="AI66" i="17"/>
  <c r="AH66" i="17"/>
  <c r="AG66" i="17"/>
  <c r="AF66" i="17"/>
  <c r="AE66" i="17"/>
  <c r="AI64" i="17"/>
  <c r="AH64" i="17"/>
  <c r="AG64" i="17"/>
  <c r="AF64" i="17"/>
  <c r="AE64" i="17"/>
  <c r="AI63" i="17"/>
  <c r="AH63" i="17"/>
  <c r="AG63" i="17"/>
  <c r="AF63" i="17"/>
  <c r="AE63" i="17"/>
  <c r="AI60" i="17"/>
  <c r="AH60" i="17"/>
  <c r="AG60" i="17"/>
  <c r="AF60" i="17"/>
  <c r="AE60" i="17"/>
  <c r="AI59" i="17"/>
  <c r="AH59" i="17"/>
  <c r="AG59" i="17"/>
  <c r="AF59" i="17"/>
  <c r="AI58" i="17"/>
  <c r="AH58" i="17"/>
  <c r="AG58" i="17"/>
  <c r="AF58" i="17"/>
  <c r="AE58" i="17"/>
  <c r="AI57" i="17"/>
  <c r="AH57" i="17"/>
  <c r="AG57" i="17"/>
  <c r="AF57" i="17"/>
  <c r="AE57" i="17"/>
  <c r="AI56" i="17"/>
  <c r="AH56" i="17"/>
  <c r="AG56" i="17"/>
  <c r="AF56" i="17"/>
  <c r="AE56" i="17"/>
  <c r="AI55" i="17"/>
  <c r="AH55" i="17"/>
  <c r="AG55" i="17"/>
  <c r="AF55" i="17"/>
  <c r="AE55" i="17"/>
  <c r="AI54" i="17"/>
  <c r="AH54" i="17"/>
  <c r="AG54" i="17"/>
  <c r="AF54" i="17"/>
  <c r="AE54" i="17"/>
  <c r="AI53" i="17"/>
  <c r="AH53" i="17"/>
  <c r="AG53" i="17"/>
  <c r="AF53" i="17"/>
  <c r="AE53" i="17"/>
  <c r="AI52" i="17"/>
  <c r="AH52" i="17"/>
  <c r="AG52" i="17"/>
  <c r="AF52" i="17"/>
  <c r="AE52" i="17"/>
  <c r="AI51" i="17"/>
  <c r="AH51" i="17"/>
  <c r="AG51" i="17"/>
  <c r="AF51" i="17"/>
  <c r="AE51" i="17"/>
  <c r="AI50" i="17"/>
  <c r="AH50" i="17"/>
  <c r="AG50" i="17"/>
  <c r="AF50" i="17"/>
  <c r="AE50" i="17"/>
  <c r="AI49" i="17"/>
  <c r="AH49" i="17"/>
  <c r="AG49" i="17"/>
  <c r="AF49" i="17"/>
  <c r="AE49" i="17"/>
  <c r="AI48" i="17"/>
  <c r="AH48" i="17"/>
  <c r="AG48" i="17"/>
  <c r="AF48" i="17"/>
  <c r="AE48" i="17"/>
  <c r="AI47" i="17"/>
  <c r="AH47" i="17"/>
  <c r="AG47" i="17"/>
  <c r="AF47" i="17"/>
  <c r="AE47" i="17"/>
  <c r="AI46" i="17"/>
  <c r="AH46" i="17"/>
  <c r="AG46" i="17"/>
  <c r="AF46" i="17"/>
  <c r="AE46" i="17"/>
  <c r="AI44" i="17"/>
  <c r="AH44" i="17"/>
  <c r="AG44" i="17"/>
  <c r="AF44" i="17"/>
  <c r="AE44" i="17"/>
  <c r="AI43" i="17"/>
  <c r="AH43" i="17"/>
  <c r="AG43" i="17"/>
  <c r="AF43" i="17"/>
  <c r="AE43" i="17"/>
  <c r="AI42" i="17"/>
  <c r="AH42" i="17"/>
  <c r="AG42" i="17"/>
  <c r="AF42" i="17"/>
  <c r="AE42" i="17"/>
  <c r="AI41" i="17"/>
  <c r="AH41" i="17"/>
  <c r="AG41" i="17"/>
  <c r="AF41" i="17"/>
  <c r="AE41" i="17"/>
  <c r="AI40" i="17"/>
  <c r="AH40" i="17"/>
  <c r="AG40" i="17"/>
  <c r="AF40" i="17"/>
  <c r="AE40" i="17"/>
  <c r="AI38" i="17"/>
  <c r="AH38" i="17"/>
  <c r="AG38" i="17"/>
  <c r="AF38" i="17"/>
  <c r="AE38" i="17"/>
  <c r="AI37" i="17"/>
  <c r="AH37" i="17"/>
  <c r="AG37" i="17"/>
  <c r="AF37" i="17"/>
  <c r="AE37" i="17"/>
  <c r="AI33" i="17"/>
  <c r="AH33" i="17"/>
  <c r="AG33" i="17"/>
  <c r="AF33" i="17"/>
  <c r="AE33" i="17"/>
  <c r="AI32" i="17"/>
  <c r="AH32" i="17"/>
  <c r="AG32" i="17"/>
  <c r="AF32" i="17"/>
  <c r="AE32" i="17"/>
  <c r="AI31" i="17"/>
  <c r="AH31" i="17"/>
  <c r="AG31" i="17"/>
  <c r="AF31" i="17"/>
  <c r="AE31" i="17"/>
  <c r="AI30" i="17"/>
  <c r="AH30" i="17"/>
  <c r="AG30" i="17"/>
  <c r="AF30" i="17"/>
  <c r="AE30" i="17"/>
  <c r="AI29" i="17"/>
  <c r="AH29" i="17"/>
  <c r="AG29" i="17"/>
  <c r="AF29" i="17"/>
  <c r="AE29" i="17"/>
  <c r="AI28" i="17"/>
  <c r="AH28" i="17"/>
  <c r="AG28" i="17"/>
  <c r="AF28" i="17"/>
  <c r="AE28" i="17"/>
  <c r="AI27" i="17"/>
  <c r="AH27" i="17"/>
  <c r="AG27" i="17"/>
  <c r="AF27" i="17"/>
  <c r="AE27" i="17"/>
  <c r="AI25" i="17"/>
  <c r="AH25" i="17"/>
  <c r="AG25" i="17"/>
  <c r="AF25" i="17"/>
  <c r="AE25" i="17"/>
  <c r="AI24" i="17"/>
  <c r="AH24" i="17"/>
  <c r="AG24" i="17"/>
  <c r="AF24" i="17"/>
  <c r="AE24" i="17"/>
  <c r="AI23" i="17"/>
  <c r="AH23" i="17"/>
  <c r="AG23" i="17"/>
  <c r="AF23" i="17"/>
  <c r="AE23" i="17"/>
  <c r="BC85" i="17"/>
  <c r="BB85" i="17"/>
  <c r="BA85" i="17"/>
  <c r="AZ85" i="17"/>
  <c r="AZ84" i="17" s="1"/>
  <c r="AY85" i="17"/>
  <c r="AY84" i="17" s="1"/>
  <c r="AX85" i="17"/>
  <c r="AX84" i="17" s="1"/>
  <c r="AW85" i="17"/>
  <c r="AW84" i="17" s="1"/>
  <c r="AV85" i="17"/>
  <c r="AU85" i="17"/>
  <c r="AU84" i="17" s="1"/>
  <c r="AT85" i="17"/>
  <c r="AT84" i="17" s="1"/>
  <c r="AS85" i="17"/>
  <c r="AS84" i="17" s="1"/>
  <c r="AR85" i="17"/>
  <c r="AR84" i="17" s="1"/>
  <c r="AQ85" i="17"/>
  <c r="AP85" i="17"/>
  <c r="AP84" i="17" s="1"/>
  <c r="AO85" i="17"/>
  <c r="AO84" i="17" s="1"/>
  <c r="AN85" i="17"/>
  <c r="AM85" i="17"/>
  <c r="AL85" i="17"/>
  <c r="AL84" i="17" s="1"/>
  <c r="AK85" i="17"/>
  <c r="AK84" i="17" s="1"/>
  <c r="AJ85" i="17"/>
  <c r="AJ84" i="17" s="1"/>
  <c r="BC84" i="17"/>
  <c r="BB84" i="17"/>
  <c r="BA84" i="17"/>
  <c r="AV84" i="17"/>
  <c r="AN84" i="17"/>
  <c r="BC82" i="17"/>
  <c r="BB82" i="17"/>
  <c r="BA82" i="17"/>
  <c r="AZ82" i="17"/>
  <c r="AY82" i="17"/>
  <c r="AX82" i="17"/>
  <c r="AW82" i="17"/>
  <c r="AV82" i="17"/>
  <c r="AU82" i="17"/>
  <c r="AT82" i="17"/>
  <c r="AS82" i="17"/>
  <c r="AS81" i="17" s="1"/>
  <c r="AR82" i="17"/>
  <c r="AR81" i="17" s="1"/>
  <c r="AQ82" i="17"/>
  <c r="AQ81" i="17" s="1"/>
  <c r="AP82" i="17"/>
  <c r="AO82" i="17"/>
  <c r="AO81" i="17" s="1"/>
  <c r="AN82" i="17"/>
  <c r="AM82" i="17"/>
  <c r="AL82" i="17"/>
  <c r="AK82" i="17"/>
  <c r="AK81" i="17" s="1"/>
  <c r="AJ82" i="17"/>
  <c r="AJ81" i="17" s="1"/>
  <c r="BC81" i="17"/>
  <c r="BB81" i="17"/>
  <c r="BA81" i="17"/>
  <c r="AZ81" i="17"/>
  <c r="AY81" i="17"/>
  <c r="AX81" i="17"/>
  <c r="AW81" i="17"/>
  <c r="AV81" i="17"/>
  <c r="AU81" i="17"/>
  <c r="AT81" i="17"/>
  <c r="AN81" i="17"/>
  <c r="AM81" i="17"/>
  <c r="BC78" i="17"/>
  <c r="BB78" i="17"/>
  <c r="BA78" i="17"/>
  <c r="AZ78" i="17"/>
  <c r="AY78" i="17"/>
  <c r="AX78" i="17"/>
  <c r="AW78" i="17"/>
  <c r="AV78" i="17"/>
  <c r="AU78" i="17"/>
  <c r="AT78" i="17"/>
  <c r="AS78" i="17"/>
  <c r="AR78" i="17"/>
  <c r="AQ78" i="17"/>
  <c r="AP78" i="17"/>
  <c r="AO78" i="17"/>
  <c r="AN78" i="17"/>
  <c r="AM78" i="17"/>
  <c r="AL78" i="17"/>
  <c r="AK78" i="17"/>
  <c r="AF78" i="17" s="1"/>
  <c r="AJ78" i="17"/>
  <c r="BC75" i="17"/>
  <c r="BB75" i="17"/>
  <c r="BA75" i="17"/>
  <c r="AZ75" i="17"/>
  <c r="AY75" i="17"/>
  <c r="AY74" i="17" s="1"/>
  <c r="AX75" i="17"/>
  <c r="AW75" i="17"/>
  <c r="AV75" i="17"/>
  <c r="AU75" i="17"/>
  <c r="AT75" i="17"/>
  <c r="AT74" i="17" s="1"/>
  <c r="AS75" i="17"/>
  <c r="AI75" i="17" s="1"/>
  <c r="AR75" i="17"/>
  <c r="AQ75" i="17"/>
  <c r="AP75" i="17"/>
  <c r="AO75" i="17"/>
  <c r="AN75" i="17"/>
  <c r="AM75" i="17"/>
  <c r="AL75" i="17"/>
  <c r="AK75" i="17"/>
  <c r="AF75" i="17" s="1"/>
  <c r="AJ75" i="17"/>
  <c r="AJ74" i="17" s="1"/>
  <c r="BC74" i="17"/>
  <c r="BB74" i="17"/>
  <c r="BA74" i="17"/>
  <c r="AZ74" i="17"/>
  <c r="AX74" i="17"/>
  <c r="AW74" i="17"/>
  <c r="AU74" i="17"/>
  <c r="AS74" i="17"/>
  <c r="AR74" i="17"/>
  <c r="AQ74" i="17"/>
  <c r="AP74" i="17"/>
  <c r="AM74" i="17"/>
  <c r="AH74" i="17" s="1"/>
  <c r="AL74" i="17"/>
  <c r="BC70" i="17"/>
  <c r="BB70" i="17"/>
  <c r="BA70" i="17"/>
  <c r="BA61" i="17" s="1"/>
  <c r="AZ70" i="17"/>
  <c r="AY70" i="17"/>
  <c r="AX70" i="17"/>
  <c r="AW70" i="17"/>
  <c r="AV70" i="17"/>
  <c r="AU70" i="17"/>
  <c r="AR70" i="17"/>
  <c r="AR61" i="17" s="1"/>
  <c r="AQ70" i="17"/>
  <c r="AP70" i="17"/>
  <c r="AN70" i="17"/>
  <c r="AM70" i="17"/>
  <c r="AL70" i="17"/>
  <c r="AK70" i="17"/>
  <c r="AJ70" i="17"/>
  <c r="BC61" i="17"/>
  <c r="AZ65" i="17"/>
  <c r="AX65" i="17"/>
  <c r="AW65" i="17"/>
  <c r="AV65" i="17"/>
  <c r="AU65" i="17"/>
  <c r="AU61" i="17" s="1"/>
  <c r="AT65" i="17"/>
  <c r="AS65" i="17"/>
  <c r="AR65" i="17"/>
  <c r="AQ65" i="17"/>
  <c r="AP65" i="17"/>
  <c r="AN65" i="17"/>
  <c r="AM65" i="17"/>
  <c r="AL65" i="17"/>
  <c r="AK65" i="17"/>
  <c r="AJ65" i="17"/>
  <c r="BC62" i="17"/>
  <c r="BB62" i="17"/>
  <c r="BA62" i="17"/>
  <c r="AZ62" i="17"/>
  <c r="AY62" i="17"/>
  <c r="AX62" i="17"/>
  <c r="AW62" i="17"/>
  <c r="AV62" i="17"/>
  <c r="AU62" i="17"/>
  <c r="AT62" i="17"/>
  <c r="AS62" i="17"/>
  <c r="AR62" i="17"/>
  <c r="AQ62" i="17"/>
  <c r="AP62" i="17"/>
  <c r="AP61" i="17" s="1"/>
  <c r="AO62" i="17"/>
  <c r="AN62" i="17"/>
  <c r="AN61" i="17" s="1"/>
  <c r="AM62" i="17"/>
  <c r="AL62" i="17"/>
  <c r="AL61" i="17" s="1"/>
  <c r="AK62" i="17"/>
  <c r="AK61" i="17" s="1"/>
  <c r="AJ62" i="17"/>
  <c r="AZ61" i="17"/>
  <c r="AS61" i="17"/>
  <c r="BC45" i="17"/>
  <c r="BC36" i="17" s="1"/>
  <c r="BB45" i="17"/>
  <c r="BA45" i="17"/>
  <c r="BA36" i="17" s="1"/>
  <c r="AZ45" i="17"/>
  <c r="AY36" i="17"/>
  <c r="AX45" i="17"/>
  <c r="AX36" i="17" s="1"/>
  <c r="AW45" i="17"/>
  <c r="AV45" i="17"/>
  <c r="AU45" i="17"/>
  <c r="AU36" i="17" s="1"/>
  <c r="AT45" i="17"/>
  <c r="AS45" i="17"/>
  <c r="AS36" i="17" s="1"/>
  <c r="AP45" i="17"/>
  <c r="AN45" i="17"/>
  <c r="AM45" i="17"/>
  <c r="AL45" i="17"/>
  <c r="AK45" i="17"/>
  <c r="AJ45" i="17"/>
  <c r="BC39" i="17"/>
  <c r="BB39" i="17"/>
  <c r="BA39" i="17"/>
  <c r="AZ39" i="17"/>
  <c r="AZ36" i="17" s="1"/>
  <c r="AZ35" i="17" s="1"/>
  <c r="AX39" i="17"/>
  <c r="AW39" i="17"/>
  <c r="AV39" i="17"/>
  <c r="AU39" i="17"/>
  <c r="AT39" i="17"/>
  <c r="AS39" i="17"/>
  <c r="AR39" i="17"/>
  <c r="AQ39" i="17"/>
  <c r="AQ36" i="17" s="1"/>
  <c r="AP39" i="17"/>
  <c r="AP36" i="17" s="1"/>
  <c r="AN39" i="17"/>
  <c r="AM39" i="17"/>
  <c r="AM36" i="17" s="1"/>
  <c r="AL39" i="17"/>
  <c r="AL36" i="17" s="1"/>
  <c r="AK39" i="17"/>
  <c r="AJ39" i="17"/>
  <c r="BB36" i="17"/>
  <c r="AK36" i="17"/>
  <c r="BC26" i="17"/>
  <c r="BC21" i="17" s="1"/>
  <c r="BB26" i="17"/>
  <c r="BB21" i="17" s="1"/>
  <c r="BA26" i="17"/>
  <c r="BA21" i="17" s="1"/>
  <c r="AZ26" i="17"/>
  <c r="AY26" i="17"/>
  <c r="AY21" i="17" s="1"/>
  <c r="AX26" i="17"/>
  <c r="AX21" i="17" s="1"/>
  <c r="AW26" i="17"/>
  <c r="AW21" i="17" s="1"/>
  <c r="AV26" i="17"/>
  <c r="AU26" i="17"/>
  <c r="AT26" i="17"/>
  <c r="AT21" i="17" s="1"/>
  <c r="AS26" i="17"/>
  <c r="AS21" i="17" s="1"/>
  <c r="AR26" i="17"/>
  <c r="AQ26" i="17"/>
  <c r="AQ21" i="17" s="1"/>
  <c r="AP26" i="17"/>
  <c r="AP21" i="17" s="1"/>
  <c r="AO26" i="17"/>
  <c r="AO21" i="17" s="1"/>
  <c r="AN26" i="17"/>
  <c r="AM26" i="17"/>
  <c r="AL26" i="17"/>
  <c r="AK26" i="17"/>
  <c r="AK21" i="17" s="1"/>
  <c r="AJ26" i="17"/>
  <c r="AZ21" i="17"/>
  <c r="AV21" i="17"/>
  <c r="AR21" i="17"/>
  <c r="AN21" i="17"/>
  <c r="AJ21" i="17"/>
  <c r="AC85" i="17"/>
  <c r="AC84" i="17" s="1"/>
  <c r="AB85" i="17"/>
  <c r="AA85" i="17"/>
  <c r="AA84" i="17" s="1"/>
  <c r="Z85" i="17"/>
  <c r="Z84" i="17" s="1"/>
  <c r="Y85" i="17"/>
  <c r="Y84" i="17" s="1"/>
  <c r="X85" i="17"/>
  <c r="X84" i="17" s="1"/>
  <c r="W85" i="17"/>
  <c r="W84" i="17" s="1"/>
  <c r="V85" i="17"/>
  <c r="V84" i="17" s="1"/>
  <c r="U85" i="17"/>
  <c r="U84" i="17" s="1"/>
  <c r="T85" i="17"/>
  <c r="S85" i="17"/>
  <c r="S84" i="17" s="1"/>
  <c r="R85" i="17"/>
  <c r="R84" i="17" s="1"/>
  <c r="Q85" i="17"/>
  <c r="P85" i="17"/>
  <c r="P84" i="17" s="1"/>
  <c r="O85" i="17"/>
  <c r="O84" i="17" s="1"/>
  <c r="N85" i="17"/>
  <c r="M85" i="17"/>
  <c r="L85" i="17"/>
  <c r="L84" i="17" s="1"/>
  <c r="K85" i="17"/>
  <c r="AB84" i="17"/>
  <c r="T84" i="17"/>
  <c r="AC82" i="17"/>
  <c r="AC81" i="17" s="1"/>
  <c r="AB82" i="17"/>
  <c r="AB81" i="17" s="1"/>
  <c r="AA82" i="17"/>
  <c r="AA81" i="17" s="1"/>
  <c r="Z82" i="17"/>
  <c r="Z81" i="17" s="1"/>
  <c r="Y82" i="17"/>
  <c r="Y81" i="17" s="1"/>
  <c r="X82" i="17"/>
  <c r="X81" i="17" s="1"/>
  <c r="W82" i="17"/>
  <c r="W81" i="17" s="1"/>
  <c r="V82" i="17"/>
  <c r="V81" i="17" s="1"/>
  <c r="U82" i="17"/>
  <c r="U81" i="17" s="1"/>
  <c r="T82" i="17"/>
  <c r="T81" i="17" s="1"/>
  <c r="S82" i="17"/>
  <c r="S81" i="17" s="1"/>
  <c r="R82" i="17"/>
  <c r="R81" i="17" s="1"/>
  <c r="Q82" i="17"/>
  <c r="Q81" i="17" s="1"/>
  <c r="P82" i="17"/>
  <c r="O82" i="17"/>
  <c r="O81" i="17" s="1"/>
  <c r="N82" i="17"/>
  <c r="M82" i="17"/>
  <c r="M81" i="17" s="1"/>
  <c r="L82" i="17"/>
  <c r="K82" i="17"/>
  <c r="K81" i="17" s="1"/>
  <c r="AC78" i="17"/>
  <c r="AB78" i="17"/>
  <c r="AA78" i="17"/>
  <c r="Z78" i="17"/>
  <c r="Y78" i="17"/>
  <c r="X78" i="17"/>
  <c r="W78" i="17"/>
  <c r="V78" i="17"/>
  <c r="U78" i="17"/>
  <c r="T78" i="17"/>
  <c r="T74" i="17" s="1"/>
  <c r="S78" i="17"/>
  <c r="R78" i="17"/>
  <c r="Q78" i="17"/>
  <c r="P78" i="17"/>
  <c r="O78" i="17"/>
  <c r="N78" i="17"/>
  <c r="M78" i="17"/>
  <c r="L78" i="17"/>
  <c r="K78" i="17"/>
  <c r="AC75" i="17"/>
  <c r="AB75" i="17"/>
  <c r="AA75" i="17"/>
  <c r="Z75" i="17"/>
  <c r="Y75" i="17"/>
  <c r="X75" i="17"/>
  <c r="W75" i="17"/>
  <c r="V75" i="17"/>
  <c r="U75" i="17"/>
  <c r="T75" i="17"/>
  <c r="S75" i="17"/>
  <c r="R75" i="17"/>
  <c r="Q75" i="17"/>
  <c r="P75" i="17"/>
  <c r="O75" i="17"/>
  <c r="N75" i="17"/>
  <c r="M75" i="17"/>
  <c r="L75" i="17"/>
  <c r="K75" i="17"/>
  <c r="AC70" i="17"/>
  <c r="AB70" i="17"/>
  <c r="AA70" i="17"/>
  <c r="Z70" i="17"/>
  <c r="Y70" i="17"/>
  <c r="X70" i="17"/>
  <c r="W70" i="17"/>
  <c r="V70" i="17"/>
  <c r="U70" i="17"/>
  <c r="T70" i="17"/>
  <c r="S70" i="17"/>
  <c r="R70" i="17"/>
  <c r="Q70" i="17"/>
  <c r="P70" i="17"/>
  <c r="O70" i="17"/>
  <c r="N70" i="17"/>
  <c r="M70" i="17"/>
  <c r="L70" i="17"/>
  <c r="K70" i="17"/>
  <c r="AC65" i="17"/>
  <c r="AB65" i="17"/>
  <c r="AA65" i="17"/>
  <c r="Z65" i="17"/>
  <c r="Y65" i="17"/>
  <c r="X65" i="17"/>
  <c r="W65" i="17"/>
  <c r="V65" i="17"/>
  <c r="U65" i="17"/>
  <c r="T65" i="17"/>
  <c r="S65" i="17"/>
  <c r="R65" i="17"/>
  <c r="Q65" i="17"/>
  <c r="P65" i="17"/>
  <c r="O65" i="17"/>
  <c r="N65" i="17"/>
  <c r="M65" i="17"/>
  <c r="L65" i="17"/>
  <c r="K65" i="17"/>
  <c r="AC62" i="17"/>
  <c r="AB62" i="17"/>
  <c r="AA62" i="17"/>
  <c r="Z62" i="17"/>
  <c r="Y62" i="17"/>
  <c r="X62" i="17"/>
  <c r="W62" i="17"/>
  <c r="V62" i="17"/>
  <c r="U62" i="17"/>
  <c r="T62" i="17"/>
  <c r="S62" i="17"/>
  <c r="R62" i="17"/>
  <c r="Q62" i="17"/>
  <c r="P62" i="17"/>
  <c r="O62" i="17"/>
  <c r="N62" i="17"/>
  <c r="M62" i="17"/>
  <c r="L62" i="17"/>
  <c r="K62" i="17"/>
  <c r="AC45" i="17"/>
  <c r="AB45" i="17"/>
  <c r="AA45" i="17"/>
  <c r="Z45" i="17"/>
  <c r="Y45" i="17"/>
  <c r="X45" i="17"/>
  <c r="W45" i="17"/>
  <c r="V45" i="17"/>
  <c r="U45" i="17"/>
  <c r="T45" i="17"/>
  <c r="S45" i="17"/>
  <c r="I45" i="17" s="1"/>
  <c r="R45" i="17"/>
  <c r="Q45" i="17"/>
  <c r="P45" i="17"/>
  <c r="O45" i="17"/>
  <c r="N45" i="17"/>
  <c r="M45" i="17"/>
  <c r="L45" i="17"/>
  <c r="K45" i="17"/>
  <c r="AC39" i="17"/>
  <c r="AB39" i="17"/>
  <c r="AA39" i="17"/>
  <c r="Z39" i="17"/>
  <c r="Y39" i="17"/>
  <c r="X39" i="17"/>
  <c r="W39" i="17"/>
  <c r="V39" i="17"/>
  <c r="V36" i="17" s="1"/>
  <c r="U39" i="17"/>
  <c r="T39" i="17"/>
  <c r="S39" i="17"/>
  <c r="R39" i="17"/>
  <c r="Q39" i="17"/>
  <c r="Q36" i="17" s="1"/>
  <c r="P39" i="17"/>
  <c r="O39" i="17"/>
  <c r="N39" i="17"/>
  <c r="N36" i="17" s="1"/>
  <c r="M39" i="17"/>
  <c r="M36" i="17" s="1"/>
  <c r="L39" i="17"/>
  <c r="K39" i="17"/>
  <c r="AC36" i="17"/>
  <c r="U36" i="17"/>
  <c r="AC26" i="17"/>
  <c r="AC21" i="17" s="1"/>
  <c r="AB26" i="17"/>
  <c r="AB21" i="17" s="1"/>
  <c r="AA26" i="17"/>
  <c r="AA21" i="17" s="1"/>
  <c r="Z26" i="17"/>
  <c r="Z21" i="17" s="1"/>
  <c r="Y26" i="17"/>
  <c r="Y21" i="17" s="1"/>
  <c r="X26" i="17"/>
  <c r="X21" i="17" s="1"/>
  <c r="W26" i="17"/>
  <c r="W21" i="17" s="1"/>
  <c r="V26" i="17"/>
  <c r="V21" i="17" s="1"/>
  <c r="U26" i="17"/>
  <c r="U21" i="17" s="1"/>
  <c r="T26" i="17"/>
  <c r="T21" i="17" s="1"/>
  <c r="S26" i="17"/>
  <c r="S21" i="17" s="1"/>
  <c r="R26" i="17"/>
  <c r="Q26" i="17"/>
  <c r="P26" i="17"/>
  <c r="P21" i="17" s="1"/>
  <c r="O26" i="17"/>
  <c r="O21" i="17" s="1"/>
  <c r="N26" i="17"/>
  <c r="M26" i="17"/>
  <c r="M21" i="17" s="1"/>
  <c r="L26" i="17"/>
  <c r="K26" i="17"/>
  <c r="K21" i="17" s="1"/>
  <c r="L21" i="17"/>
  <c r="AD90" i="17"/>
  <c r="AD89" i="17"/>
  <c r="AD88" i="17"/>
  <c r="AD87" i="17"/>
  <c r="AD86" i="17"/>
  <c r="AD83" i="17"/>
  <c r="AD82" i="17" s="1"/>
  <c r="AD81" i="17" s="1"/>
  <c r="AD80" i="17"/>
  <c r="AD79" i="17"/>
  <c r="AD78" i="17" s="1"/>
  <c r="AD77" i="17"/>
  <c r="AD76" i="17"/>
  <c r="AD73" i="17"/>
  <c r="AD72" i="17"/>
  <c r="AD71" i="17"/>
  <c r="AD69" i="17"/>
  <c r="AD68" i="17"/>
  <c r="AD67" i="17"/>
  <c r="AD66" i="17"/>
  <c r="AD64" i="17"/>
  <c r="AD63" i="17"/>
  <c r="AD60" i="17"/>
  <c r="AD59" i="17"/>
  <c r="AD58" i="17"/>
  <c r="AD57" i="17"/>
  <c r="AD56" i="17"/>
  <c r="AD55" i="17"/>
  <c r="AD54" i="17"/>
  <c r="AD53" i="17"/>
  <c r="AD52" i="17"/>
  <c r="AD51" i="17"/>
  <c r="AD50" i="17"/>
  <c r="AD49" i="17"/>
  <c r="AD48" i="17"/>
  <c r="AD47" i="17"/>
  <c r="AD46" i="17"/>
  <c r="AD44" i="17"/>
  <c r="AD43" i="17"/>
  <c r="AD42" i="17"/>
  <c r="AD41" i="17"/>
  <c r="AD40" i="17"/>
  <c r="AD38" i="17"/>
  <c r="AD37" i="17"/>
  <c r="AD27" i="17"/>
  <c r="AD26" i="17" s="1"/>
  <c r="AD21" i="17" s="1"/>
  <c r="J85" i="17"/>
  <c r="J84" i="17" s="1"/>
  <c r="J82" i="17"/>
  <c r="J81" i="17" s="1"/>
  <c r="J78" i="17"/>
  <c r="J75" i="17"/>
  <c r="J70" i="17"/>
  <c r="J65" i="17"/>
  <c r="J62" i="17"/>
  <c r="J45" i="17"/>
  <c r="J39" i="17"/>
  <c r="J26" i="17"/>
  <c r="I90" i="17"/>
  <c r="H90" i="17"/>
  <c r="G90" i="17"/>
  <c r="F90" i="17"/>
  <c r="E90" i="17"/>
  <c r="I89" i="17"/>
  <c r="H89" i="17"/>
  <c r="G89" i="17"/>
  <c r="F89" i="17"/>
  <c r="E89" i="17"/>
  <c r="I88" i="17"/>
  <c r="H88" i="17"/>
  <c r="G88" i="17"/>
  <c r="F88" i="17"/>
  <c r="E88" i="17"/>
  <c r="I87" i="17"/>
  <c r="H87" i="17"/>
  <c r="G87" i="17"/>
  <c r="F87" i="17"/>
  <c r="E87" i="17"/>
  <c r="I86" i="17"/>
  <c r="H86" i="17"/>
  <c r="G86" i="17"/>
  <c r="F86" i="17"/>
  <c r="E86" i="17"/>
  <c r="I83" i="17"/>
  <c r="H83" i="17"/>
  <c r="G83" i="17"/>
  <c r="F83" i="17"/>
  <c r="E83" i="17"/>
  <c r="I80" i="17"/>
  <c r="H80" i="17"/>
  <c r="G80" i="17"/>
  <c r="F80" i="17"/>
  <c r="E80" i="17"/>
  <c r="I79" i="17"/>
  <c r="H79" i="17"/>
  <c r="G79" i="17"/>
  <c r="F79" i="17"/>
  <c r="E79" i="17"/>
  <c r="I77" i="17"/>
  <c r="H77" i="17"/>
  <c r="G77" i="17"/>
  <c r="F77" i="17"/>
  <c r="E77" i="17"/>
  <c r="I76" i="17"/>
  <c r="H76" i="17"/>
  <c r="G76" i="17"/>
  <c r="F76" i="17"/>
  <c r="E76" i="17"/>
  <c r="I73" i="17"/>
  <c r="H73" i="17"/>
  <c r="G73" i="17"/>
  <c r="F73" i="17"/>
  <c r="E73" i="17"/>
  <c r="I72" i="17"/>
  <c r="H72" i="17"/>
  <c r="G72" i="17"/>
  <c r="F72" i="17"/>
  <c r="E72" i="17"/>
  <c r="I71" i="17"/>
  <c r="H71" i="17"/>
  <c r="G71" i="17"/>
  <c r="F71" i="17"/>
  <c r="E71" i="17"/>
  <c r="I69" i="17"/>
  <c r="H69" i="17"/>
  <c r="G69" i="17"/>
  <c r="F69" i="17"/>
  <c r="E69" i="17"/>
  <c r="I68" i="17"/>
  <c r="H68" i="17"/>
  <c r="G68" i="17"/>
  <c r="F68" i="17"/>
  <c r="E68" i="17"/>
  <c r="I67" i="17"/>
  <c r="H67" i="17"/>
  <c r="G67" i="17"/>
  <c r="F67" i="17"/>
  <c r="E67" i="17"/>
  <c r="I66" i="17"/>
  <c r="H66" i="17"/>
  <c r="G66" i="17"/>
  <c r="F66" i="17"/>
  <c r="E66" i="17"/>
  <c r="I64" i="17"/>
  <c r="H64" i="17"/>
  <c r="G64" i="17"/>
  <c r="F64" i="17"/>
  <c r="E64" i="17"/>
  <c r="I63" i="17"/>
  <c r="H63" i="17"/>
  <c r="G63" i="17"/>
  <c r="F63" i="17"/>
  <c r="E63" i="17"/>
  <c r="I60" i="17"/>
  <c r="H60" i="17"/>
  <c r="G60" i="17"/>
  <c r="F60" i="17"/>
  <c r="E60" i="17"/>
  <c r="I59" i="17"/>
  <c r="H59" i="17"/>
  <c r="G59" i="17"/>
  <c r="F59" i="17"/>
  <c r="E59" i="17"/>
  <c r="I58" i="17"/>
  <c r="H58" i="17"/>
  <c r="G58" i="17"/>
  <c r="F58" i="17"/>
  <c r="E58" i="17"/>
  <c r="I57" i="17"/>
  <c r="H57" i="17"/>
  <c r="G57" i="17"/>
  <c r="F57" i="17"/>
  <c r="E57" i="17"/>
  <c r="I56" i="17"/>
  <c r="H56" i="17"/>
  <c r="G56" i="17"/>
  <c r="F56" i="17"/>
  <c r="E56" i="17"/>
  <c r="I55" i="17"/>
  <c r="H55" i="17"/>
  <c r="G55" i="17"/>
  <c r="F55" i="17"/>
  <c r="E55" i="17"/>
  <c r="I54" i="17"/>
  <c r="H54" i="17"/>
  <c r="G54" i="17"/>
  <c r="F54" i="17"/>
  <c r="E54" i="17"/>
  <c r="I53" i="17"/>
  <c r="H53" i="17"/>
  <c r="G53" i="17"/>
  <c r="F53" i="17"/>
  <c r="E53" i="17"/>
  <c r="I52" i="17"/>
  <c r="H52" i="17"/>
  <c r="G52" i="17"/>
  <c r="F52" i="17"/>
  <c r="E52" i="17"/>
  <c r="I51" i="17"/>
  <c r="H51" i="17"/>
  <c r="G51" i="17"/>
  <c r="F51" i="17"/>
  <c r="E51" i="17"/>
  <c r="I50" i="17"/>
  <c r="H50" i="17"/>
  <c r="G50" i="17"/>
  <c r="F50" i="17"/>
  <c r="E50" i="17"/>
  <c r="I49" i="17"/>
  <c r="H49" i="17"/>
  <c r="G49" i="17"/>
  <c r="F49" i="17"/>
  <c r="E49" i="17"/>
  <c r="I48" i="17"/>
  <c r="H48" i="17"/>
  <c r="G48" i="17"/>
  <c r="F48" i="17"/>
  <c r="E48" i="17"/>
  <c r="I47" i="17"/>
  <c r="H47" i="17"/>
  <c r="G47" i="17"/>
  <c r="F47" i="17"/>
  <c r="E47" i="17"/>
  <c r="I46" i="17"/>
  <c r="H46" i="17"/>
  <c r="G46" i="17"/>
  <c r="F46" i="17"/>
  <c r="E46" i="17"/>
  <c r="I44" i="17"/>
  <c r="H44" i="17"/>
  <c r="G44" i="17"/>
  <c r="F44" i="17"/>
  <c r="E44" i="17"/>
  <c r="I43" i="17"/>
  <c r="H43" i="17"/>
  <c r="G43" i="17"/>
  <c r="F43" i="17"/>
  <c r="E43" i="17"/>
  <c r="I42" i="17"/>
  <c r="H42" i="17"/>
  <c r="G42" i="17"/>
  <c r="F42" i="17"/>
  <c r="E42" i="17"/>
  <c r="I41" i="17"/>
  <c r="H41" i="17"/>
  <c r="G41" i="17"/>
  <c r="F41" i="17"/>
  <c r="E41" i="17"/>
  <c r="I40" i="17"/>
  <c r="H40" i="17"/>
  <c r="G40" i="17"/>
  <c r="F40" i="17"/>
  <c r="E40" i="17"/>
  <c r="I38" i="17"/>
  <c r="H38" i="17"/>
  <c r="G38" i="17"/>
  <c r="F38" i="17"/>
  <c r="E38" i="17"/>
  <c r="I37" i="17"/>
  <c r="H37" i="17"/>
  <c r="G37" i="17"/>
  <c r="F37" i="17"/>
  <c r="E37" i="17"/>
  <c r="I33" i="17"/>
  <c r="H33" i="17"/>
  <c r="G33" i="17"/>
  <c r="F33" i="17"/>
  <c r="E33" i="17"/>
  <c r="I32" i="17"/>
  <c r="H32" i="17"/>
  <c r="G32" i="17"/>
  <c r="F32" i="17"/>
  <c r="E32" i="17"/>
  <c r="I31" i="17"/>
  <c r="H31" i="17"/>
  <c r="G31" i="17"/>
  <c r="F31" i="17"/>
  <c r="E31" i="17"/>
  <c r="I30" i="17"/>
  <c r="H30" i="17"/>
  <c r="G30" i="17"/>
  <c r="F30" i="17"/>
  <c r="E30" i="17"/>
  <c r="I29" i="17"/>
  <c r="H29" i="17"/>
  <c r="G29" i="17"/>
  <c r="F29" i="17"/>
  <c r="E29" i="17"/>
  <c r="I28" i="17"/>
  <c r="H28" i="17"/>
  <c r="G28" i="17"/>
  <c r="F28" i="17"/>
  <c r="E28" i="17"/>
  <c r="I27" i="17"/>
  <c r="H27" i="17"/>
  <c r="G27" i="17"/>
  <c r="F27" i="17"/>
  <c r="E27" i="17"/>
  <c r="I25" i="17"/>
  <c r="H25" i="17"/>
  <c r="G25" i="17"/>
  <c r="F25" i="17"/>
  <c r="E25" i="17"/>
  <c r="I24" i="17"/>
  <c r="H24" i="17"/>
  <c r="G24" i="17"/>
  <c r="F24" i="17"/>
  <c r="E24" i="17"/>
  <c r="I23" i="17"/>
  <c r="H23" i="17"/>
  <c r="G23" i="17"/>
  <c r="F23" i="17"/>
  <c r="E23" i="17"/>
  <c r="D85" i="17"/>
  <c r="D84" i="17" s="1"/>
  <c r="D82" i="17"/>
  <c r="D81" i="17" s="1"/>
  <c r="D78" i="17"/>
  <c r="D75" i="17"/>
  <c r="D70" i="17"/>
  <c r="D65" i="17"/>
  <c r="D62" i="17"/>
  <c r="D45" i="17"/>
  <c r="D39" i="17"/>
  <c r="D27" i="17"/>
  <c r="D26" i="17" s="1"/>
  <c r="D21" i="17" s="1"/>
  <c r="AY61" i="17" l="1"/>
  <c r="AV74" i="17"/>
  <c r="AW36" i="17"/>
  <c r="AT36" i="17"/>
  <c r="AV36" i="17"/>
  <c r="AV35" i="17" s="1"/>
  <c r="AV61" i="17"/>
  <c r="AG61" i="17" s="1"/>
  <c r="AW61" i="17"/>
  <c r="AW35" i="17" s="1"/>
  <c r="AW34" i="17" s="1"/>
  <c r="AW22" i="17" s="1"/>
  <c r="AW20" i="17" s="1"/>
  <c r="AK35" i="17"/>
  <c r="AF35" i="17" s="1"/>
  <c r="AY35" i="17"/>
  <c r="AY34" i="17" s="1"/>
  <c r="AY22" i="17" s="1"/>
  <c r="AY20" i="17" s="1"/>
  <c r="BC35" i="17"/>
  <c r="BC34" i="17" s="1"/>
  <c r="BC22" i="17" s="1"/>
  <c r="BC20" i="17" s="1"/>
  <c r="E82" i="17"/>
  <c r="E39" i="17"/>
  <c r="AD39" i="17"/>
  <c r="AD62" i="17"/>
  <c r="L74" i="17"/>
  <c r="P74" i="17"/>
  <c r="AB74" i="17"/>
  <c r="AE39" i="17"/>
  <c r="AN36" i="17"/>
  <c r="AN35" i="17" s="1"/>
  <c r="AM61" i="17"/>
  <c r="AM35" i="17" s="1"/>
  <c r="AT61" i="17"/>
  <c r="AX61" i="17"/>
  <c r="AX35" i="17" s="1"/>
  <c r="AX34" i="17" s="1"/>
  <c r="AX22" i="17" s="1"/>
  <c r="AX20" i="17" s="1"/>
  <c r="BB61" i="17"/>
  <c r="BB35" i="17" s="1"/>
  <c r="BB34" i="17" s="1"/>
  <c r="BB22" i="17" s="1"/>
  <c r="BB20" i="17" s="1"/>
  <c r="AU35" i="17"/>
  <c r="AD75" i="17"/>
  <c r="Y36" i="17"/>
  <c r="D74" i="17"/>
  <c r="AL35" i="17"/>
  <c r="AG70" i="17"/>
  <c r="AH81" i="17"/>
  <c r="AF84" i="17"/>
  <c r="X74" i="17"/>
  <c r="G70" i="17"/>
  <c r="R36" i="17"/>
  <c r="AP35" i="17"/>
  <c r="BA35" i="17"/>
  <c r="BA34" i="17" s="1"/>
  <c r="BA22" i="17" s="1"/>
  <c r="BA20" i="17" s="1"/>
  <c r="AO74" i="17"/>
  <c r="AE74" i="17" s="1"/>
  <c r="AU34" i="17"/>
  <c r="AU22" i="17" s="1"/>
  <c r="AU20" i="17" s="1"/>
  <c r="Q74" i="17"/>
  <c r="U74" i="17"/>
  <c r="AC74" i="17"/>
  <c r="I78" i="17"/>
  <c r="H78" i="17"/>
  <c r="G78" i="17"/>
  <c r="AJ36" i="17"/>
  <c r="AS35" i="17"/>
  <c r="AF62" i="17"/>
  <c r="AF65" i="17"/>
  <c r="AF70" i="17"/>
  <c r="AG75" i="17"/>
  <c r="AG78" i="17"/>
  <c r="AI81" i="17"/>
  <c r="AF36" i="17"/>
  <c r="AK74" i="17"/>
  <c r="AF74" i="17" s="1"/>
  <c r="AH75" i="17"/>
  <c r="AH78" i="17"/>
  <c r="AO45" i="17"/>
  <c r="AO36" i="17" s="1"/>
  <c r="D36" i="17"/>
  <c r="D61" i="17"/>
  <c r="G75" i="17"/>
  <c r="F21" i="17"/>
  <c r="F62" i="17"/>
  <c r="L61" i="17"/>
  <c r="F65" i="17"/>
  <c r="T61" i="17"/>
  <c r="X61" i="17"/>
  <c r="AB61" i="17"/>
  <c r="F70" i="17"/>
  <c r="AG26" i="17"/>
  <c r="AF39" i="17"/>
  <c r="AI39" i="17"/>
  <c r="AF45" i="17"/>
  <c r="AF61" i="17"/>
  <c r="AH70" i="17"/>
  <c r="AG74" i="17"/>
  <c r="AN74" i="17"/>
  <c r="AI74" i="17" s="1"/>
  <c r="AJ61" i="17"/>
  <c r="AE75" i="17"/>
  <c r="AN34" i="17"/>
  <c r="AN22" i="17" s="1"/>
  <c r="AG39" i="17"/>
  <c r="AR36" i="17"/>
  <c r="AG45" i="17"/>
  <c r="AG62" i="17"/>
  <c r="AO61" i="17"/>
  <c r="AQ61" i="17"/>
  <c r="AQ35" i="17" s="1"/>
  <c r="AG65" i="17"/>
  <c r="I82" i="17"/>
  <c r="N81" i="17"/>
  <c r="I81" i="17" s="1"/>
  <c r="AF21" i="17"/>
  <c r="Q21" i="17"/>
  <c r="G21" i="17" s="1"/>
  <c r="G26" i="17"/>
  <c r="P61" i="17"/>
  <c r="AI21" i="17"/>
  <c r="AH26" i="17"/>
  <c r="AM21" i="17"/>
  <c r="AH21" i="17" s="1"/>
  <c r="AU21" i="17"/>
  <c r="AF26" i="17"/>
  <c r="AH39" i="17"/>
  <c r="AH45" i="17"/>
  <c r="AH62" i="17"/>
  <c r="AH65" i="17"/>
  <c r="AG82" i="17"/>
  <c r="AL81" i="17"/>
  <c r="AF82" i="17"/>
  <c r="AP81" i="17"/>
  <c r="AH85" i="17"/>
  <c r="AM84" i="17"/>
  <c r="AG85" i="17"/>
  <c r="AQ84" i="17"/>
  <c r="Z36" i="17"/>
  <c r="F39" i="17"/>
  <c r="H85" i="17"/>
  <c r="M84" i="17"/>
  <c r="H84" i="17" s="1"/>
  <c r="Q84" i="17"/>
  <c r="G84" i="17" s="1"/>
  <c r="G85" i="17"/>
  <c r="AE26" i="17"/>
  <c r="AI26" i="17"/>
  <c r="AI36" i="17"/>
  <c r="AE45" i="17"/>
  <c r="AI45" i="17"/>
  <c r="AI61" i="17"/>
  <c r="AE62" i="17"/>
  <c r="AI62" i="17"/>
  <c r="AE65" i="17"/>
  <c r="AI65" i="17"/>
  <c r="AE70" i="17"/>
  <c r="AI70" i="17"/>
  <c r="AE78" i="17"/>
  <c r="AI78" i="17"/>
  <c r="AE81" i="17"/>
  <c r="AH82" i="17"/>
  <c r="AI84" i="17"/>
  <c r="AE85" i="17"/>
  <c r="AI85" i="17"/>
  <c r="AE21" i="17"/>
  <c r="AF81" i="17"/>
  <c r="AE82" i="17"/>
  <c r="AI82" i="17"/>
  <c r="AE84" i="17"/>
  <c r="AF85" i="17"/>
  <c r="AD45" i="17"/>
  <c r="AD36" i="17" s="1"/>
  <c r="K36" i="17"/>
  <c r="O36" i="17"/>
  <c r="S36" i="17"/>
  <c r="W36" i="17"/>
  <c r="AA36" i="17"/>
  <c r="P36" i="17"/>
  <c r="T36" i="17"/>
  <c r="T35" i="17" s="1"/>
  <c r="T34" i="17" s="1"/>
  <c r="T22" i="17" s="1"/>
  <c r="T20" i="17" s="1"/>
  <c r="X36" i="17"/>
  <c r="X35" i="17" s="1"/>
  <c r="X34" i="17" s="1"/>
  <c r="X22" i="17" s="1"/>
  <c r="X20" i="17" s="1"/>
  <c r="X91" i="17" s="1"/>
  <c r="AB36" i="17"/>
  <c r="K74" i="17"/>
  <c r="O74" i="17"/>
  <c r="S74" i="17"/>
  <c r="W74" i="17"/>
  <c r="AA74" i="17"/>
  <c r="AL21" i="17"/>
  <c r="AG21" i="17" s="1"/>
  <c r="AZ34" i="17"/>
  <c r="AZ22" i="17" s="1"/>
  <c r="AZ20" i="17" s="1"/>
  <c r="AD65" i="17"/>
  <c r="AD70" i="17"/>
  <c r="H62" i="17"/>
  <c r="U61" i="17"/>
  <c r="U35" i="17" s="1"/>
  <c r="U34" i="17" s="1"/>
  <c r="U22" i="17" s="1"/>
  <c r="U20" i="17" s="1"/>
  <c r="Y61" i="17"/>
  <c r="AC61" i="17"/>
  <c r="AC35" i="17" s="1"/>
  <c r="I65" i="17"/>
  <c r="H65" i="17"/>
  <c r="G65" i="17"/>
  <c r="I70" i="17"/>
  <c r="H70" i="17"/>
  <c r="E81" i="17"/>
  <c r="AD85" i="17"/>
  <c r="AD84" i="17" s="1"/>
  <c r="L36" i="17"/>
  <c r="G45" i="17"/>
  <c r="H75" i="17"/>
  <c r="M74" i="17"/>
  <c r="E75" i="17"/>
  <c r="Y74" i="17"/>
  <c r="I39" i="17"/>
  <c r="I75" i="17"/>
  <c r="R74" i="17"/>
  <c r="V74" i="17"/>
  <c r="Z74" i="17"/>
  <c r="I85" i="17"/>
  <c r="N84" i="17"/>
  <c r="I84" i="17" s="1"/>
  <c r="G62" i="17"/>
  <c r="Q61" i="17"/>
  <c r="Q35" i="17" s="1"/>
  <c r="G82" i="17"/>
  <c r="L81" i="17"/>
  <c r="G81" i="17" s="1"/>
  <c r="F82" i="17"/>
  <c r="P81" i="17"/>
  <c r="F81" i="17" s="1"/>
  <c r="F85" i="17"/>
  <c r="F26" i="17"/>
  <c r="H45" i="17"/>
  <c r="I62" i="17"/>
  <c r="F75" i="17"/>
  <c r="H82" i="17"/>
  <c r="I26" i="17"/>
  <c r="N21" i="17"/>
  <c r="I21" i="17" s="1"/>
  <c r="R21" i="17"/>
  <c r="H21" i="17" s="1"/>
  <c r="H26" i="17"/>
  <c r="H39" i="17"/>
  <c r="G39" i="17"/>
  <c r="F45" i="17"/>
  <c r="M61" i="17"/>
  <c r="N61" i="17"/>
  <c r="R61" i="17"/>
  <c r="V61" i="17"/>
  <c r="V35" i="17" s="1"/>
  <c r="Z61" i="17"/>
  <c r="Z35" i="17" s="1"/>
  <c r="Z34" i="17" s="1"/>
  <c r="Z22" i="17" s="1"/>
  <c r="Z20" i="17" s="1"/>
  <c r="Z91" i="17" s="1"/>
  <c r="K61" i="17"/>
  <c r="O61" i="17"/>
  <c r="E65" i="17"/>
  <c r="S61" i="17"/>
  <c r="S35" i="17" s="1"/>
  <c r="W61" i="17"/>
  <c r="AA61" i="17"/>
  <c r="H81" i="17"/>
  <c r="F78" i="17"/>
  <c r="E45" i="17"/>
  <c r="E84" i="17"/>
  <c r="N74" i="17"/>
  <c r="K84" i="17"/>
  <c r="F84" i="17" s="1"/>
  <c r="E62" i="17"/>
  <c r="E78" i="17"/>
  <c r="AD74" i="17"/>
  <c r="J36" i="17"/>
  <c r="E36" i="17" s="1"/>
  <c r="J61" i="17"/>
  <c r="J74" i="17"/>
  <c r="E85" i="17"/>
  <c r="J21" i="17"/>
  <c r="E21" i="17" s="1"/>
  <c r="E26" i="17"/>
  <c r="E70" i="17"/>
  <c r="AV34" i="17" l="1"/>
  <c r="AV22" i="17" s="1"/>
  <c r="AV20" i="17" s="1"/>
  <c r="AH36" i="17"/>
  <c r="AT35" i="17"/>
  <c r="AT34" i="17" s="1"/>
  <c r="AT22" i="17" s="1"/>
  <c r="AT20" i="17" s="1"/>
  <c r="AG36" i="17"/>
  <c r="AE36" i="17"/>
  <c r="AH61" i="17"/>
  <c r="AG35" i="17"/>
  <c r="AC34" i="17"/>
  <c r="AC22" i="17" s="1"/>
  <c r="AC20" i="17" s="1"/>
  <c r="R35" i="17"/>
  <c r="R34" i="17" s="1"/>
  <c r="R22" i="17" s="1"/>
  <c r="R20" i="17" s="1"/>
  <c r="R91" i="17" s="1"/>
  <c r="Y35" i="17"/>
  <c r="Y34" i="17" s="1"/>
  <c r="Y22" i="17" s="1"/>
  <c r="Y20" i="17" s="1"/>
  <c r="Y91" i="17" s="1"/>
  <c r="AD61" i="17"/>
  <c r="AP34" i="17"/>
  <c r="AP22" i="17" s="1"/>
  <c r="AP20" i="17" s="1"/>
  <c r="AJ35" i="17"/>
  <c r="AJ34" i="17" s="1"/>
  <c r="AJ22" i="17" s="1"/>
  <c r="S34" i="17"/>
  <c r="S22" i="17" s="1"/>
  <c r="S20" i="17" s="1"/>
  <c r="F74" i="17"/>
  <c r="O35" i="17"/>
  <c r="O34" i="17" s="1"/>
  <c r="O22" i="17" s="1"/>
  <c r="O20" i="17" s="1"/>
  <c r="O91" i="17" s="1"/>
  <c r="I74" i="17"/>
  <c r="H74" i="17"/>
  <c r="D35" i="17"/>
  <c r="D34" i="17" s="1"/>
  <c r="D22" i="17" s="1"/>
  <c r="D20" i="17" s="1"/>
  <c r="D91" i="17" s="1"/>
  <c r="AI35" i="17"/>
  <c r="E74" i="17"/>
  <c r="AA35" i="17"/>
  <c r="AA34" i="17" s="1"/>
  <c r="AA22" i="17" s="1"/>
  <c r="AA20" i="17" s="1"/>
  <c r="AA91" i="17" s="1"/>
  <c r="AS34" i="17"/>
  <c r="AS22" i="17" s="1"/>
  <c r="AS20" i="17" s="1"/>
  <c r="P35" i="17"/>
  <c r="P34" i="17" s="1"/>
  <c r="P22" i="17" s="1"/>
  <c r="P20" i="17" s="1"/>
  <c r="P91" i="17" s="1"/>
  <c r="W35" i="17"/>
  <c r="I61" i="17"/>
  <c r="G74" i="17"/>
  <c r="AB35" i="17"/>
  <c r="AB34" i="17" s="1"/>
  <c r="AB22" i="17" s="1"/>
  <c r="AB20" i="17" s="1"/>
  <c r="AB91" i="17" s="1"/>
  <c r="F36" i="17"/>
  <c r="AK34" i="17"/>
  <c r="Q34" i="17"/>
  <c r="Q22" i="17" s="1"/>
  <c r="Q20" i="17" s="1"/>
  <c r="Q91" i="17" s="1"/>
  <c r="AO35" i="17"/>
  <c r="AR35" i="17"/>
  <c r="AR34" i="17" s="1"/>
  <c r="AR22" i="17" s="1"/>
  <c r="AR20" i="17" s="1"/>
  <c r="AQ34" i="17"/>
  <c r="AQ22" i="17" s="1"/>
  <c r="AQ20" i="17" s="1"/>
  <c r="AE61" i="17"/>
  <c r="AH84" i="17"/>
  <c r="AM34" i="17"/>
  <c r="W34" i="17"/>
  <c r="W22" i="17" s="1"/>
  <c r="W20" i="17" s="1"/>
  <c r="W91" i="17" s="1"/>
  <c r="H36" i="17"/>
  <c r="AN20" i="17"/>
  <c r="AI20" i="17" s="1"/>
  <c r="AL34" i="17"/>
  <c r="AG81" i="17"/>
  <c r="AD35" i="17"/>
  <c r="AD34" i="17" s="1"/>
  <c r="AD22" i="17" s="1"/>
  <c r="AD20" i="17" s="1"/>
  <c r="F61" i="17"/>
  <c r="I36" i="17"/>
  <c r="AK22" i="17"/>
  <c r="AI34" i="17"/>
  <c r="AG84" i="17"/>
  <c r="V34" i="17"/>
  <c r="V22" i="17" s="1"/>
  <c r="V20" i="17" s="1"/>
  <c r="V91" i="17" s="1"/>
  <c r="N35" i="17"/>
  <c r="AJ20" i="17"/>
  <c r="L35" i="17"/>
  <c r="G36" i="17"/>
  <c r="N34" i="17"/>
  <c r="I35" i="17"/>
  <c r="E61" i="17"/>
  <c r="K35" i="17"/>
  <c r="H61" i="17"/>
  <c r="M35" i="17"/>
  <c r="G61" i="17"/>
  <c r="J35" i="17"/>
  <c r="T91" i="17"/>
  <c r="S91" i="17"/>
  <c r="U91" i="17"/>
  <c r="AE35" i="17" l="1"/>
  <c r="AH35" i="17"/>
  <c r="AF34" i="17"/>
  <c r="E35" i="17"/>
  <c r="AO34" i="17"/>
  <c r="AI22" i="17"/>
  <c r="AG34" i="17"/>
  <c r="AL22" i="17"/>
  <c r="AH34" i="17"/>
  <c r="AM22" i="17"/>
  <c r="AK20" i="17"/>
  <c r="AF20" i="17" s="1"/>
  <c r="AF22" i="17"/>
  <c r="G35" i="17"/>
  <c r="L34" i="17"/>
  <c r="M34" i="17"/>
  <c r="H35" i="17"/>
  <c r="I34" i="17"/>
  <c r="N22" i="17"/>
  <c r="F35" i="17"/>
  <c r="K34" i="17"/>
  <c r="J34" i="17"/>
  <c r="E34" i="17" s="1"/>
  <c r="AO22" i="17" l="1"/>
  <c r="AE34" i="17"/>
  <c r="AL20" i="17"/>
  <c r="AG20" i="17" s="1"/>
  <c r="AG22" i="17"/>
  <c r="AH22" i="17"/>
  <c r="AM20" i="17"/>
  <c r="AH20" i="17" s="1"/>
  <c r="F34" i="17"/>
  <c r="K22" i="17"/>
  <c r="M22" i="17"/>
  <c r="H34" i="17"/>
  <c r="N20" i="17"/>
  <c r="I22" i="17"/>
  <c r="L22" i="17"/>
  <c r="G34" i="17"/>
  <c r="J22" i="17"/>
  <c r="E22" i="17" s="1"/>
  <c r="AO20" i="17" l="1"/>
  <c r="AE20" i="17" s="1"/>
  <c r="AE22" i="17"/>
  <c r="G22" i="17"/>
  <c r="L20" i="17"/>
  <c r="H22" i="17"/>
  <c r="M20" i="17"/>
  <c r="H20" i="17" s="1"/>
  <c r="K20" i="17"/>
  <c r="F20" i="17" s="1"/>
  <c r="F22" i="17"/>
  <c r="J20" i="17"/>
  <c r="E20" i="17" s="1"/>
  <c r="E91" i="17" s="1"/>
  <c r="G20" i="17" l="1"/>
  <c r="G91" i="17" s="1"/>
  <c r="L91" i="17"/>
  <c r="N91" i="17"/>
  <c r="J91" i="17"/>
  <c r="H91" i="17"/>
  <c r="M91" i="17"/>
  <c r="K91" i="17"/>
  <c r="F91" i="17"/>
  <c r="AQ91" i="17" l="1"/>
  <c r="AU91" i="17"/>
  <c r="AY91" i="17"/>
  <c r="BC91" i="17"/>
  <c r="BA91" i="17"/>
  <c r="AS91" i="17"/>
  <c r="AR91" i="17"/>
  <c r="AZ91" i="17"/>
  <c r="AT91" i="17"/>
  <c r="AP91" i="17"/>
  <c r="AW91" i="17"/>
  <c r="AD91" i="17"/>
  <c r="AX91" i="17" l="1"/>
  <c r="AV91" i="17"/>
  <c r="AM91" i="17"/>
  <c r="AJ91" i="17"/>
  <c r="AO91" i="17" l="1"/>
  <c r="AN91" i="17"/>
  <c r="BB91" i="17" l="1"/>
  <c r="AK91" i="17"/>
  <c r="I20" i="17" l="1"/>
  <c r="I91" i="17" s="1"/>
  <c r="AC91" i="17"/>
  <c r="AL91" i="17"/>
  <c r="AE91" i="17" l="1"/>
  <c r="AI91" i="17"/>
  <c r="AF91" i="17"/>
  <c r="AH91" i="17"/>
  <c r="AG91" i="17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C19" i="17" l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<sst xmlns="http://schemas.openxmlformats.org/spreadsheetml/2006/main" count="2087" uniqueCount="1064">
  <si>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</si>
  <si>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</si>
  <si>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</si>
  <si>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</si>
  <si>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</si>
  <si>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</si>
  <si>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</si>
  <si>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</si>
  <si>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</si>
  <si>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</si>
  <si>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</si>
  <si>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</si>
  <si>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</si>
  <si>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</si>
  <si>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</si>
  <si>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</si>
  <si>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</si>
  <si>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</si>
  <si>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</si>
  <si>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</si>
  <si>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</si>
  <si>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</si>
  <si>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</si>
  <si>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</si>
  <si>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</si>
  <si>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</si>
  <si>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</si>
  <si>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</si>
  <si>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</si>
  <si>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</si>
  <si>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</si>
  <si>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</si>
  <si>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</si>
  <si>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</si>
  <si>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</si>
  <si>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</si>
  <si>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</si>
  <si>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</si>
  <si>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</si>
  <si>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</si>
  <si>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</si>
  <si>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</si>
  <si>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</si>
  <si>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</si>
  <si>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</si>
  <si>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</si>
  <si>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</si>
  <si>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</si>
  <si>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</si>
  <si>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</si>
  <si>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</si>
  <si>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</si>
  <si>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</si>
  <si>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</si>
  <si>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</si>
  <si>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</si>
  <si>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</si>
  <si>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</si>
  <si>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</si>
  <si>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</si>
  <si>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</si>
  <si>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</si>
  <si>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</si>
  <si>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</si>
  <si>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</si>
  <si>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</si>
  <si>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</si>
  <si>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</si>
  <si>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</si>
  <si>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</si>
  <si>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</si>
  <si>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</si>
  <si>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</si>
  <si>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</si>
  <si>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</si>
  <si>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</si>
  <si>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</si>
  <si>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</si>
  <si>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</si>
  <si>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</si>
  <si>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</si>
  <si>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</si>
  <si>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</si>
  <si>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</si>
  <si>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</si>
  <si>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</si>
  <si>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</si>
  <si>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</si>
  <si>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</si>
  <si>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</si>
  <si>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</si>
  <si>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</si>
  <si>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</si>
  <si>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</si>
  <si>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</si>
  <si>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</si>
  <si>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</si>
  <si>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</si>
  <si>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</si>
  <si>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</si>
  <si>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</si>
  <si>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</si>
  <si>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</si>
  <si>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</si>
  <si>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</si>
  <si>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</si>
  <si>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</si>
  <si>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</si>
  <si>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</si>
  <si>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</si>
  <si>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</si>
  <si>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</si>
  <si>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</si>
  <si>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</si>
  <si>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</si>
  <si>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</si>
  <si>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</si>
  <si>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</si>
  <si>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</si>
  <si>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</si>
  <si>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</si>
  <si>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</si>
  <si>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</si>
  <si>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</si>
  <si>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</si>
  <si>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</si>
  <si>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</si>
  <si>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</si>
  <si>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</si>
  <si>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</si>
  <si>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</si>
  <si>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</si>
  <si>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</si>
  <si>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</si>
  <si>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</si>
  <si>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</si>
  <si>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</si>
  <si>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</si>
  <si>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</si>
  <si>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</si>
  <si>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</si>
  <si>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</si>
  <si>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</si>
  <si>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</si>
  <si>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</si>
  <si>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</si>
  <si>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</si>
  <si>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</si>
  <si>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</si>
  <si>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</si>
  <si>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</si>
  <si>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</si>
  <si>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</si>
  <si>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</si>
  <si>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</si>
  <si>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</si>
  <si>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</si>
  <si>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</si>
  <si>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</si>
  <si>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</si>
  <si>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</si>
  <si>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</si>
  <si>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</si>
  <si>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</si>
  <si>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</si>
  <si>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</si>
  <si>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</si>
  <si>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</si>
  <si>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</si>
  <si>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</si>
  <si>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</si>
  <si>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</si>
  <si>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</si>
  <si>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</si>
  <si>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</si>
  <si>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</si>
  <si>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</si>
  <si>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</si>
  <si>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</si>
  <si>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</si>
  <si>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</si>
  <si>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</si>
  <si>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</si>
  <si>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</si>
  <si>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</si>
  <si>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</si>
  <si>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</si>
  <si>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</si>
  <si>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</si>
  <si>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</si>
  <si>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</si>
  <si>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</si>
  <si>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</si>
  <si>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</si>
  <si>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</si>
  <si>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</si>
  <si>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</si>
  <si>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</si>
  <si>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</si>
  <si>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</si>
  <si>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</si>
  <si>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</si>
  <si>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</si>
  <si>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</si>
  <si>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</si>
  <si>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</si>
  <si>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</si>
  <si>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</si>
  <si>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</si>
  <si>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</si>
  <si>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</si>
  <si>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</si>
  <si>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</si>
  <si>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</si>
  <si>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</si>
  <si>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</si>
  <si>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</si>
  <si>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</si>
  <si>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</si>
  <si>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</si>
  <si>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</si>
  <si>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</si>
  <si>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</si>
  <si>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</si>
  <si>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</si>
  <si>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</si>
  <si>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</si>
  <si>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</si>
  <si>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</si>
  <si>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</si>
  <si>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</si>
  <si>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</si>
  <si>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</si>
  <si>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</si>
  <si>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</si>
  <si>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</si>
  <si>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</si>
  <si>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</si>
  <si>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</si>
  <si>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</si>
  <si>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</si>
  <si>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</si>
  <si>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</si>
  <si>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</si>
  <si>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</si>
  <si>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</si>
  <si>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</si>
  <si>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</si>
  <si>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</si>
  <si>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</si>
  <si>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</si>
  <si>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</si>
  <si>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</si>
  <si>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</si>
  <si>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</si>
  <si>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</si>
  <si>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</si>
  <si>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</si>
  <si>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</si>
  <si>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</si>
  <si>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</si>
  <si>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</si>
  <si>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</si>
  <si>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</si>
  <si>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</si>
  <si>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</si>
  <si>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</si>
  <si>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</si>
  <si>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</si>
  <si>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</si>
  <si>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</si>
  <si>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</si>
  <si>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</si>
  <si>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</si>
  <si>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</si>
  <si>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</si>
  <si>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</si>
  <si>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</si>
  <si>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</si>
  <si>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</si>
  <si>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</si>
  <si>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</si>
  <si>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</si>
  <si>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</si>
  <si>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</si>
  <si>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</si>
  <si>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</si>
  <si>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</si>
  <si>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</si>
  <si>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</si>
  <si>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</si>
  <si>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</si>
  <si>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</si>
  <si>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</si>
  <si>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</si>
  <si>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</si>
  <si>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</si>
  <si>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</si>
  <si>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</si>
  <si>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</si>
  <si>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</si>
  <si>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</si>
  <si>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</si>
  <si>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</si>
  <si>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</si>
  <si>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</si>
  <si>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</si>
  <si>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</si>
  <si>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</si>
  <si>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</si>
  <si>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</si>
  <si>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</si>
  <si>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</si>
  <si>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</si>
  <si>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</si>
  <si>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</si>
  <si>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</si>
  <si>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</si>
  <si>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</si>
  <si>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</si>
  <si>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</si>
  <si>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</si>
  <si>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</si>
  <si>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</si>
  <si>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</si>
  <si>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</si>
  <si>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</si>
  <si>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</si>
  <si>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</si>
  <si>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</si>
  <si>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</si>
  <si>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</si>
  <si>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</si>
  <si>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</si>
  <si>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</si>
  <si>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</si>
  <si>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</si>
  <si>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</si>
  <si>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</si>
  <si>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</si>
  <si>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</si>
  <si>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</si>
  <si>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</si>
  <si>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</si>
  <si>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</si>
  <si>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</si>
  <si>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</si>
  <si>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</si>
  <si>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</si>
  <si>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</si>
  <si>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</si>
  <si>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</si>
  <si>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</si>
  <si>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</si>
  <si>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</si>
  <si>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</si>
  <si>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</si>
  <si>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</si>
  <si>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</si>
  <si>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</si>
  <si>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</si>
  <si>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</si>
  <si>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</si>
  <si>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</si>
  <si>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</si>
  <si>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</si>
  <si>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</si>
  <si>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</si>
  <si>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</si>
  <si>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</si>
  <si>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</si>
  <si>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</si>
  <si>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</si>
  <si>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</si>
  <si>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</si>
  <si>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</si>
  <si>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</si>
  <si>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</si>
  <si>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</si>
  <si>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</si>
  <si>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</si>
  <si>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</si>
  <si>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</si>
  <si>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</si>
  <si>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</si>
  <si>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</si>
  <si>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</si>
  <si>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</si>
  <si>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</si>
  <si>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</si>
  <si>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</si>
  <si>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</si>
  <si>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</si>
  <si>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</si>
  <si>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</si>
  <si>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</si>
  <si>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</si>
  <si>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</si>
  <si>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</si>
  <si>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</si>
  <si>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</si>
  <si>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</si>
  <si>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</si>
  <si>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</si>
  <si>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</si>
  <si>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</si>
  <si>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</si>
  <si>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</si>
  <si>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</si>
  <si>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</si>
  <si>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</si>
  <si>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</si>
  <si>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</si>
  <si>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</si>
  <si>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</si>
  <si>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</si>
  <si>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</si>
  <si>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</si>
  <si>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</si>
  <si>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</si>
  <si>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</si>
  <si>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</si>
  <si>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</si>
  <si>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</si>
  <si>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</si>
  <si>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</si>
  <si>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</si>
  <si>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</si>
  <si>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</si>
  <si>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</si>
  <si>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</si>
  <si>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</si>
  <si>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</si>
  <si>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</si>
  <si>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</si>
  <si>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</si>
  <si>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</si>
  <si>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</si>
  <si>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</si>
  <si>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</si>
  <si>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</si>
  <si>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</si>
  <si>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</si>
  <si>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</si>
  <si>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</si>
  <si>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</si>
  <si>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</si>
  <si>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</si>
  <si>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</si>
  <si>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</si>
  <si>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</si>
  <si>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</si>
  <si>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</si>
  <si>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</si>
  <si>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</si>
  <si>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</si>
  <si>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</si>
  <si>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</si>
  <si>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</si>
  <si>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</si>
  <si>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</si>
  <si>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</si>
  <si>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</si>
  <si>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</si>
  <si>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</si>
  <si>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</si>
  <si>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</si>
  <si>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</si>
  <si>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</si>
  <si>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</si>
  <si>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</si>
  <si>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</si>
  <si>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</si>
  <si>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</si>
  <si>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</si>
  <si>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</si>
  <si>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</si>
  <si>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</si>
  <si>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</si>
  <si>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</si>
  <si>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</si>
  <si>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</si>
  <si>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</si>
  <si>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</si>
  <si>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</si>
  <si>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</si>
  <si>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</si>
  <si>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</si>
  <si>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</si>
  <si>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</si>
  <si>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</si>
  <si>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</si>
  <si>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</si>
  <si>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</si>
  <si>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</si>
  <si>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</si>
  <si>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</si>
  <si>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</si>
  <si>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</si>
  <si>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</si>
  <si>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</si>
  <si>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</si>
  <si>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</si>
  <si>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</si>
  <si>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</si>
  <si>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</si>
  <si>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</si>
  <si>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</si>
  <si>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</si>
  <si>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</si>
  <si>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</si>
  <si>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</si>
  <si>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</si>
  <si>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</si>
  <si>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</si>
  <si>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</si>
  <si>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</si>
  <si>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</si>
  <si>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</si>
  <si>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</si>
  <si>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</si>
  <si>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</si>
  <si>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</si>
  <si>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</si>
  <si>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</si>
  <si>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</si>
  <si>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</si>
  <si>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</si>
  <si>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</si>
  <si>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</si>
  <si>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</si>
  <si>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</si>
  <si>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</si>
  <si>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</si>
  <si>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</si>
  <si>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</si>
  <si>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</si>
  <si>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</si>
  <si>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</si>
  <si>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</si>
  <si>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</si>
  <si>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</si>
  <si>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</si>
  <si>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</si>
  <si>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</si>
  <si>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</si>
  <si>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</si>
  <si>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</si>
  <si>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</si>
  <si>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</si>
  <si>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</si>
  <si>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</si>
  <si>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</si>
  <si>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</si>
  <si>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</si>
  <si>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</si>
  <si>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</si>
  <si>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</si>
  <si>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</si>
  <si>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</si>
  <si>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</si>
  <si>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</si>
  <si>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</si>
  <si>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</si>
  <si>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</si>
  <si>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</si>
  <si>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</si>
  <si>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</si>
  <si>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</si>
  <si>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</si>
  <si>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</si>
  <si>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</si>
  <si>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</si>
  <si>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</si>
  <si>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</si>
  <si>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</si>
  <si>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</si>
  <si>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</si>
  <si>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</si>
  <si>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</si>
  <si>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</si>
  <si>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</si>
  <si>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</si>
  <si>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</si>
  <si>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</si>
  <si>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</si>
  <si>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</si>
  <si>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</si>
  <si>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</si>
  <si>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</si>
  <si>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</si>
  <si>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</si>
  <si>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</si>
  <si>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</si>
  <si>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</si>
  <si>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</si>
  <si>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</si>
  <si>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</si>
  <si>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</si>
  <si>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</si>
  <si>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</si>
  <si>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</si>
  <si>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</si>
  <si>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</si>
  <si>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</si>
  <si>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</si>
  <si>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</si>
  <si>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</si>
  <si>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</si>
  <si>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</si>
  <si>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</si>
  <si>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</si>
  <si>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</si>
  <si>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</si>
  <si>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</si>
  <si>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</si>
  <si>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</si>
  <si>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</si>
  <si>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</si>
  <si>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</si>
  <si>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</si>
  <si>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</si>
  <si>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</si>
  <si>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</si>
  <si>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</si>
  <si>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</si>
  <si>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</si>
  <si>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</si>
  <si>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</si>
  <si>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</si>
  <si>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</si>
  <si>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</si>
  <si>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</si>
  <si>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</si>
  <si>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</si>
  <si>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</si>
  <si>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</si>
  <si>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</si>
  <si>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</si>
  <si>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</si>
  <si>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</si>
  <si>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</si>
  <si>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</si>
  <si>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</si>
  <si>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</si>
  <si>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</si>
  <si>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</si>
  <si>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</si>
  <si>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</si>
  <si>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</si>
  <si>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</si>
  <si>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</si>
  <si>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</si>
  <si>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</si>
  <si>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</si>
  <si>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</si>
  <si>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</si>
  <si>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</si>
  <si>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</si>
  <si>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</si>
  <si>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</si>
  <si>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</si>
  <si>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</si>
  <si>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</si>
  <si>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</si>
  <si>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</si>
  <si>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</si>
  <si>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</si>
  <si>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</si>
  <si>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</si>
  <si>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</si>
  <si>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</si>
  <si>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</si>
  <si>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</si>
  <si>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</si>
  <si>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</si>
  <si>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</si>
  <si>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</si>
  <si>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</si>
  <si>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</si>
  <si>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</si>
  <si>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</si>
  <si>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</si>
  <si>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</si>
  <si>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</si>
  <si>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</si>
  <si>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</si>
  <si>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</si>
  <si>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</si>
  <si>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</si>
  <si>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</si>
  <si>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</si>
  <si>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</si>
  <si>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</si>
  <si>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</si>
  <si>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</si>
  <si>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</si>
  <si>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</si>
  <si>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</si>
  <si>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</si>
  <si>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</si>
  <si>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</si>
  <si>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</si>
  <si>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</si>
  <si>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</si>
  <si>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</si>
  <si>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</si>
  <si>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</si>
  <si>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</si>
  <si>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</si>
  <si>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</si>
  <si>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</si>
  <si>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</si>
  <si>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</si>
  <si>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</si>
  <si>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</si>
  <si>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</si>
  <si>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</si>
  <si>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</si>
  <si>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</si>
  <si>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</si>
  <si>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</si>
  <si>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</si>
  <si>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</si>
  <si>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</si>
  <si>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</si>
  <si>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</si>
  <si>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</si>
  <si>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</si>
  <si>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</si>
  <si>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</si>
  <si>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</si>
  <si>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</si>
  <si>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</si>
  <si>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</si>
  <si>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</si>
  <si>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</si>
  <si>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</si>
  <si>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</si>
  <si>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</si>
  <si>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</si>
  <si>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</si>
  <si>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</si>
  <si>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</si>
  <si>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</si>
  <si>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</si>
  <si>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</si>
  <si>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</si>
  <si>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</si>
  <si>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</si>
  <si>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</si>
  <si>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</si>
  <si>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</si>
  <si>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</si>
  <si>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</si>
  <si>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</si>
  <si>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</si>
  <si>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</si>
  <si>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</si>
  <si>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</si>
  <si>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</si>
  <si>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</si>
  <si>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</si>
  <si>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</si>
  <si>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</si>
  <si>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</si>
  <si>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</si>
  <si>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</si>
  <si>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</si>
  <si>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</si>
  <si>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</si>
  <si>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</si>
  <si>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</si>
  <si>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</si>
  <si>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</si>
  <si>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</si>
  <si>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</si>
  <si>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</si>
  <si>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</si>
  <si>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</si>
  <si>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</si>
  <si>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</si>
  <si>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</si>
  <si>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</si>
  <si>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</si>
  <si>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</si>
  <si>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</si>
  <si>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</si>
  <si>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</si>
  <si>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</si>
  <si>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</si>
  <si>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</si>
  <si>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</si>
  <si>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</si>
  <si>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</si>
  <si>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</si>
  <si>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</si>
  <si>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</si>
  <si>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</si>
  <si>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</si>
  <si>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</si>
  <si>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</si>
  <si>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</si>
  <si>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</si>
  <si>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</si>
  <si>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</si>
  <si>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</si>
  <si>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</si>
  <si>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</si>
  <si>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</si>
  <si>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</si>
  <si>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</si>
  <si>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</si>
  <si>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</si>
  <si>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</si>
  <si>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</si>
  <si>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</si>
  <si>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</si>
  <si>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</si>
  <si>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</si>
  <si>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</si>
  <si>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</si>
  <si>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</si>
  <si>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</si>
  <si>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</si>
  <si>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</si>
  <si>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</si>
  <si>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</si>
  <si>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</si>
  <si>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</si>
  <si>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</si>
  <si>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</si>
  <si>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</si>
  <si>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</si>
  <si>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</si>
  <si>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</si>
  <si>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</si>
  <si>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</si>
  <si>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</si>
  <si>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</si>
  <si>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</si>
  <si>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</si>
  <si>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</si>
  <si>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</si>
  <si>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</si>
  <si>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</si>
  <si>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</si>
  <si>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</si>
  <si>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</si>
  <si>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</si>
  <si>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</si>
  <si>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</si>
  <si>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</si>
  <si>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</si>
  <si>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</si>
  <si>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</si>
  <si>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</si>
  <si>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</si>
  <si>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</si>
  <si>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</si>
  <si>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</si>
  <si>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</si>
  <si>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</si>
  <si>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</si>
  <si>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</si>
  <si>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</si>
  <si>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</si>
  <si>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</si>
  <si>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</si>
  <si>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</si>
  <si>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</si>
  <si>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</si>
  <si>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</si>
  <si>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</si>
  <si>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</si>
  <si>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</si>
  <si>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</si>
  <si>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</si>
  <si>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</si>
  <si>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</si>
  <si>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</si>
  <si>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</si>
  <si>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</si>
  <si>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</si>
  <si>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</si>
  <si>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</si>
  <si>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</si>
  <si>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Отчет о реализации инвестиционной программы  МУП "Нефтекамское межрайонное педприятие электрических сетей "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</si>
  <si>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241-О от 24.10.2017г.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</si>
  <si>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</si>
  <si>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</si>
  <si>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</si>
  <si>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</si>
  <si>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</si>
  <si>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</si>
  <si>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</si>
  <si>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</si>
  <si>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</si>
  <si>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</si>
  <si>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МУП "НМПЭС"РБ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</si>
  <si>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</si>
  <si>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</si>
  <si>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</si>
  <si>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</si>
  <si>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</si>
  <si>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</si>
  <si>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</si>
  <si>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</si>
  <si>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1.2.1.1.2.1</t>
  </si>
  <si>
    <t>1.2.1.1.3.1</t>
  </si>
  <si>
    <t>1.2.1.1.3.2</t>
  </si>
  <si>
    <t>1.2.1.1.3.3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</si>
  <si>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</si>
  <si>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</si>
  <si>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1.2.1.2.2.1</t>
  </si>
  <si>
    <t>1.2.1.2.2.2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</si>
  <si>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</si>
  <si>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</si>
  <si>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</si>
  <si>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</si>
  <si>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</si>
  <si>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</si>
  <si>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</si>
  <si>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</si>
  <si>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</si>
  <si>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</si>
  <si>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</si>
  <si>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</si>
  <si>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</si>
  <si>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1.2.1.1.2.2</t>
  </si>
  <si>
    <t>1.2.1.2.3.2</t>
  </si>
  <si>
    <t>реквизиты решения органа исполнительной власти, утвердившего инвестиционную программу</t>
  </si>
  <si>
    <t>1.2.1.1.2.3</t>
  </si>
  <si>
    <t>1.2.1.1.2.4</t>
  </si>
  <si>
    <t>1.2.1.1.2.5</t>
  </si>
  <si>
    <t>1.2.2.2</t>
  </si>
  <si>
    <t>Модернизация, техническое перевооружение линий электропередачи, всего, в том числе:</t>
  </si>
  <si>
    <t>1.2.4.2.3</t>
  </si>
  <si>
    <t>Год раскрытия информации:  2020 год</t>
  </si>
  <si>
    <t>Финансирование капитальных вложений года 2020г., млн. рублей (с НДС)</t>
  </si>
  <si>
    <t>Освоение капитальных вложений года 2020, млн. рублей (без НДС)</t>
  </si>
  <si>
    <t>1.1.1.3.1</t>
  </si>
  <si>
    <t>1.2.1.1.1.1</t>
  </si>
  <si>
    <t>1.2.1.1.3.4</t>
  </si>
  <si>
    <t>1.2.1.1.3.5</t>
  </si>
  <si>
    <t>1.2.1.1.3.6</t>
  </si>
  <si>
    <t>1.2.1.1.3.7</t>
  </si>
  <si>
    <t>1.2.1.1.3.8</t>
  </si>
  <si>
    <t>1.2.1.1.3.9</t>
  </si>
  <si>
    <t>1.2.1.1.3.10</t>
  </si>
  <si>
    <t>1.2.1.1.3.11</t>
  </si>
  <si>
    <t>1.2.1.1.3.12</t>
  </si>
  <si>
    <t>1.2.1.1.3.13</t>
  </si>
  <si>
    <t>1.2.1.1.3.14</t>
  </si>
  <si>
    <t>1.2.1.1.3.15</t>
  </si>
  <si>
    <t>1.2.1.2.1</t>
  </si>
  <si>
    <t>1.2.1.2.1.1</t>
  </si>
  <si>
    <t>1.2.1.2.1.2</t>
  </si>
  <si>
    <t>1.2.1.2.2.3</t>
  </si>
  <si>
    <t>1.2.1.2.2.4</t>
  </si>
  <si>
    <t>1.2.1.2.3.3</t>
  </si>
  <si>
    <t>1.2.2.2,1</t>
  </si>
  <si>
    <t>1.2.2.2.2</t>
  </si>
  <si>
    <t>1.2.4.2.1</t>
  </si>
  <si>
    <t>1.2.4.2.2</t>
  </si>
  <si>
    <t>1.2.4.2.4</t>
  </si>
  <si>
    <t>1.2.4.2.5</t>
  </si>
  <si>
    <t>Стадион "Торос"  БКТП-0706</t>
  </si>
  <si>
    <t>Реконструкция ПС Касево 35/6 кВ ограждение территории 120м.</t>
  </si>
  <si>
    <t xml:space="preserve">Внедрение АСДТУ  РП-11,РП-4   </t>
  </si>
  <si>
    <t>Установка ячеек КСО с вакуумными выкл -5шт  в том числе:</t>
  </si>
  <si>
    <t>Установка ячеек КСО с вакуумными выкл. В ТП-5306 ввод с Ф-28 ПС Искож  в кол-ве 1шт.</t>
  </si>
  <si>
    <t>Установка ячеек КСО с вакуумными выкл. В ТП-5002 ввод с Ф-11 ПС Зенит в кол-ве 1шт.</t>
  </si>
  <si>
    <t>Установка ячеек КСО с вакуумными выкл. В ТП-0525 ввод с Ф-5 ПС КНС-14 в кол-ве 1шт.</t>
  </si>
  <si>
    <t>Установка ячеек КСО с вакуумными выкл. В ТП-1704  ввод с Ф-17 ПС Искож  в кол-ве 1шт.</t>
  </si>
  <si>
    <t>Установка ячеек КСО с вакуумными выкл. В ТП-1705  ввод с Ф-13 ПС Нефтекамск в кол-ве 1шт.</t>
  </si>
  <si>
    <t>Замена отработавших нормативный срок трансформаторов  ТМГ-20шт в том числе:</t>
  </si>
  <si>
    <t>Замена отработавших нормативный срок трансформаторов в  КТП-0525 Т-1  кол-ве  1шт ТМ-400 на ТМГ-400 .(0)</t>
  </si>
  <si>
    <t>Замена отработавших нормативный срок трансформаторов в  КТП-801А кол-ве  1шт ТМ-160 на ТМГ-160 .(0)</t>
  </si>
  <si>
    <t>Замена отработавших нормативный срок трансформаторов в  КТП-0236  кол-ве  1шт ТМ-250 на ТМГ-250 .(0)</t>
  </si>
  <si>
    <t>Замена отработавших нормативный срок трансформаторов в  КТП-9001  кол-ве  1шт ТМ-400 на ТМГ-400 .(0)</t>
  </si>
  <si>
    <t>Замена отработавших нормативный срок трансформаторов в  КТП-2006  кол-ве  1шт ТМ-250 на ТМГ-250 .(0)</t>
  </si>
  <si>
    <t>Замена отработавших нормативный срок трансформаторов в  КТП-5111  кол-ве  1шт ТМ-250 на ТМГ-250 .(0)</t>
  </si>
  <si>
    <t>Замена отработавших нормативный срок трансформаторов в  КТП-5110  кол-ве  1шт ТМ-400 на ТМГ-400 .(0)</t>
  </si>
  <si>
    <t>Замена отработавших нормативный срок трансформаторов в  КТП-11008  кол-ве  1шт ТМ-250 на ТМГ-250 .(0)</t>
  </si>
  <si>
    <t>Замена отработавших нормативный срок трансформаторов в  КТП-9005  кол-ве  1шт ТМ-400 на ТМГ-400 .(0)</t>
  </si>
  <si>
    <t>Замена отработавших нормативный срок трансформаторов в  КТП-5126  кол-ве  1шт ТМ-160 на ТМГ-160 .(0)</t>
  </si>
  <si>
    <t>Замена отработавших нормативный срок трансформаторов в  ТП-0113  кол-ве  2шт ТМ-630 на ТМГ-400 .(-460)</t>
  </si>
  <si>
    <t>Замена отработавших нормативный срок трансформаторов в  ТП-1511  кол-ве  2шт ТМ-250 на ТМГ-250 .(0)</t>
  </si>
  <si>
    <t>Замена отработавших нормативный срок трансформаторов в  ТП-5310  кол-ве  2шт ТМ-250 на ТМГ-250 .(0)</t>
  </si>
  <si>
    <t>Замена отработавших нормативный срок трансформаторов в  ТП-5308  кол-ве  2шт ТМ-400 на ТМГ-400 .(0)</t>
  </si>
  <si>
    <t>Замена отработавших нормативный срок трансформаторов в  ТП-1403  кол-ве  2шт ТМ-400 на ТМГ-400 .(0)</t>
  </si>
  <si>
    <t>Замена тупикового КТП на  КТП-ПК проходного типа -2шт  ,замена и прокладка КЛ в том числе:</t>
  </si>
  <si>
    <t>Замена тупикового КТП-5112 на  КТП-ПК проходного типа -1шт,  КЛ-6кВ  0,025км</t>
  </si>
  <si>
    <t>Замена тупикового КТП-5110 на  КТП-ПК проходного типа -1шт</t>
  </si>
  <si>
    <t>Замена КТП (вышел нормативный срок и износ 100%),замена вводов.  4шт в том числе:</t>
  </si>
  <si>
    <t>Замена КТП-Т-2411 (вышел нормативный срок и износ 100%),замена вводов.  1шт КЛ-6кВ  0,030км</t>
  </si>
  <si>
    <t>Замена КТП-Т-5116 (вышел нормативный срок и износ 100%),замена вводов.  1шт   КЛ-6кВ  0,030км</t>
  </si>
  <si>
    <t xml:space="preserve">               Замена КТП-П-5107 (вышел нормативный срок и износ 100%),замена вводов.  1шт</t>
  </si>
  <si>
    <t>Замена КТП-Т-9001 (вышел нормативный срок и износ 100%),замена вводов.  1шт  КЛ-6кВ  0,035км</t>
  </si>
  <si>
    <t>Установка трех  КТПН 6/04кВ  в центрах питания.Строительство ВЛ,КЛ-6,04кВ в том числе:</t>
  </si>
  <si>
    <t xml:space="preserve">Реконструкция  ВЛ-6,04кВ мкр Михайловка КТП-2411,2412,2413  ВЛ-6кВ -0,21 км, ВЛ-04кВ-5,976км, КЛ-04кВ-0,425км </t>
  </si>
  <si>
    <t>Реконструкция ВЛ-6кВ Ф5 ПС Н-Березовка ул.Макаренко, замена участка ВЛ-6кВ  на КЛ-6кВ   L=0,34 км.</t>
  </si>
  <si>
    <t>Прокладка КЛ-6кВ на КТП-2003 с Ф-15 ПС Касево  L= 0,140</t>
  </si>
  <si>
    <t>Закольцовка Ф-5 ПС  Н-Березовка -КТП 0126 - КТП 1216 кабелем  КЛ-6кВ  1,470 км</t>
  </si>
  <si>
    <t>Установка АИИСКУЭ в районах малоэтажной застройки,ОДУ жилых домов. 403 шт.</t>
  </si>
  <si>
    <t>Покупка грузового автомобиля с манипулятором -1шт</t>
  </si>
  <si>
    <t>Покупка эл.изм  лаборатории на базе автом. Газель (Соболь)  4х4  1шт</t>
  </si>
  <si>
    <t>Автомобиль УАЗ цельнометалический-1шт</t>
  </si>
  <si>
    <t>Комплект поисковый  КП-500К</t>
  </si>
  <si>
    <t>Обновление компьютерной техники, обновление ПО, ОС Windows 10</t>
  </si>
  <si>
    <t>I_ ТП 20.1.1.1.1</t>
  </si>
  <si>
    <t>I_ ТП 20.1.1.1.2.</t>
  </si>
  <si>
    <t>I_ТП 20.1.1.1.3</t>
  </si>
  <si>
    <t>G_20200111</t>
  </si>
  <si>
    <t>H_  20200111</t>
  </si>
  <si>
    <t>H_  20200112</t>
  </si>
  <si>
    <t>H_  202001121</t>
  </si>
  <si>
    <t>H_  202001122</t>
  </si>
  <si>
    <t>H_  202001123</t>
  </si>
  <si>
    <t>H_  202001126</t>
  </si>
  <si>
    <t>H_  202001127</t>
  </si>
  <si>
    <t>G_ 20200113</t>
  </si>
  <si>
    <t>G_ 202001131</t>
  </si>
  <si>
    <t>G_ 202001132</t>
  </si>
  <si>
    <t>G_ 202001133</t>
  </si>
  <si>
    <t>G_ 202001134</t>
  </si>
  <si>
    <t>G_ 202001135</t>
  </si>
  <si>
    <t>G_ 202001136</t>
  </si>
  <si>
    <t>G_ 202001137</t>
  </si>
  <si>
    <t>G_ 202001138</t>
  </si>
  <si>
    <t>G_ 202001139</t>
  </si>
  <si>
    <t>G_ 2020011310</t>
  </si>
  <si>
    <t>G_ 2020011311</t>
  </si>
  <si>
    <t>G_ 2020011312</t>
  </si>
  <si>
    <t>G_ 2020011313</t>
  </si>
  <si>
    <t>G_ 2020011314</t>
  </si>
  <si>
    <t>G_ 2020011315</t>
  </si>
  <si>
    <t>G_ 20200121</t>
  </si>
  <si>
    <t>G_ 202001211</t>
  </si>
  <si>
    <t>G_ 202001212</t>
  </si>
  <si>
    <t>G_  20200122</t>
  </si>
  <si>
    <t>G_  202001221</t>
  </si>
  <si>
    <t>G_  202001222</t>
  </si>
  <si>
    <t>G_  202001223</t>
  </si>
  <si>
    <t>G_  202001224</t>
  </si>
  <si>
    <t>G_  20200123</t>
  </si>
  <si>
    <t>G_  202001231</t>
  </si>
  <si>
    <t>G_  202001232</t>
  </si>
  <si>
    <t>G_  202001233</t>
  </si>
  <si>
    <t>J_  20200211</t>
  </si>
  <si>
    <t>J_  20200212</t>
  </si>
  <si>
    <t>J_  20200220</t>
  </si>
  <si>
    <t>H_  20200221</t>
  </si>
  <si>
    <t>G_  20200311</t>
  </si>
  <si>
    <t>G_  20200421</t>
  </si>
  <si>
    <t>G_  20200422</t>
  </si>
  <si>
    <t>G_  20200423</t>
  </si>
  <si>
    <t>J_  20200424</t>
  </si>
  <si>
    <t>J_  20200425</t>
  </si>
  <si>
    <t>Установка  КТП-П-КК- с тр-ром 250кВА  -1шт  пер.Садовый  с.Н-Березовка   КЛ-04кВ  0,025км КТП-0126</t>
  </si>
  <si>
    <t>Установка  КТП-П-КК  с тр-ром 250кВА  -1шт    ул.Луговая с.Н-Березовка   КЛ-04кВ  0,485   КТП-1626</t>
  </si>
  <si>
    <t>Установка  КТП-П-КК с тр-ром 250кВА  -1шт , установка РВНО-6 кВ  1шт   ул.Трактовая  КЛ-6кВ  0,94км, КЛ-04кВ  0,865км  КТП-3020</t>
  </si>
  <si>
    <t>за IV 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</si>
</sst>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_-* #,##0.00\ _₽_-;\-* #,##0.00\ _₽_-;_-* &quot;-&quot;??\ _₽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6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5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7" fillId="0" borderId="0" applyNumberFormat="0" applyFill="0" applyBorder="0" applyAlignment="0" applyProtection="0"/>
  </cellStyleXfs>
  <cellXfs count="448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6" fontId="10" fillId="0" borderId="10" xfId="0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6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56" fillId="0" borderId="0" xfId="37" applyFont="1" applyFill="1"/>
    <xf numFmtId="0" fontId="56" fillId="0" borderId="10" xfId="37" applyFont="1" applyFill="1" applyBorder="1" applyAlignment="1">
      <alignment horizontal="center" vertical="center" wrapText="1"/>
    </xf>
    <xf numFmtId="0" fontId="56" fillId="0" borderId="0" xfId="0" applyFont="1" applyFill="1" applyAlignment="1"/>
    <xf numFmtId="0" fontId="56" fillId="0" borderId="0" xfId="0" applyFont="1" applyFill="1" applyAlignment="1">
      <alignment horizontal="center"/>
    </xf>
    <xf numFmtId="0" fontId="56" fillId="0" borderId="0" xfId="37" applyFont="1" applyFill="1" applyAlignment="1">
      <alignment wrapText="1"/>
    </xf>
    <xf numFmtId="0" fontId="56" fillId="0" borderId="0" xfId="37" applyFont="1"/>
    <xf numFmtId="0" fontId="56" fillId="0" borderId="0" xfId="37" applyFont="1" applyAlignment="1">
      <alignment horizontal="right"/>
    </xf>
    <xf numFmtId="0" fontId="56" fillId="0" borderId="0" xfId="37" applyFont="1" applyBorder="1"/>
    <xf numFmtId="0" fontId="56" fillId="0" borderId="0" xfId="0" applyFont="1"/>
    <xf numFmtId="0" fontId="56" fillId="0" borderId="0" xfId="0" applyFont="1" applyFill="1"/>
    <xf numFmtId="0" fontId="39" fillId="0" borderId="0" xfId="55" applyFont="1" applyAlignment="1">
      <alignment vertical="top"/>
    </xf>
    <xf numFmtId="0" fontId="56" fillId="0" borderId="10" xfId="37" applyFont="1" applyFill="1" applyBorder="1" applyAlignment="1">
      <alignment horizontal="center" textRotation="90" wrapText="1"/>
    </xf>
    <xf numFmtId="0" fontId="56" fillId="0" borderId="10" xfId="37" applyNumberFormat="1" applyFont="1" applyBorder="1" applyAlignment="1">
      <alignment horizontal="center" vertical="center" wrapText="1"/>
    </xf>
    <xf numFmtId="0" fontId="56" fillId="0" borderId="10" xfId="37" applyNumberFormat="1" applyFont="1" applyBorder="1" applyAlignment="1">
      <alignment horizontal="center" vertical="center"/>
    </xf>
    <xf numFmtId="0" fontId="56" fillId="0" borderId="0" xfId="37" applyNumberFormat="1" applyFont="1"/>
    <xf numFmtId="166" fontId="62" fillId="0" borderId="10" xfId="37" applyNumberFormat="1" applyFont="1" applyBorder="1" applyAlignment="1">
      <alignment horizontal="center" vertical="center"/>
    </xf>
    <xf numFmtId="166" fontId="62" fillId="0" borderId="10" xfId="37" applyNumberFormat="1" applyFont="1" applyBorder="1" applyAlignment="1">
      <alignment wrapText="1"/>
    </xf>
    <xf numFmtId="0" fontId="62" fillId="0" borderId="0" xfId="37" applyFont="1"/>
    <xf numFmtId="49" fontId="64" fillId="24" borderId="10" xfId="55" applyNumberFormat="1" applyFont="1" applyFill="1" applyBorder="1" applyAlignment="1">
      <alignment horizontal="center" vertical="center"/>
    </xf>
    <xf numFmtId="49" fontId="64" fillId="24" borderId="10" xfId="37" applyNumberFormat="1" applyFont="1" applyFill="1" applyBorder="1" applyAlignment="1">
      <alignment horizontal="center" vertical="center" wrapText="1"/>
    </xf>
    <xf numFmtId="169" fontId="64" fillId="24" borderId="10" xfId="37" applyNumberFormat="1" applyFont="1" applyFill="1" applyBorder="1" applyAlignment="1">
      <alignment horizontal="center" vertical="center"/>
    </xf>
    <xf numFmtId="4" fontId="64" fillId="24" borderId="10" xfId="37" applyNumberFormat="1" applyFont="1" applyFill="1" applyBorder="1" applyAlignment="1">
      <alignment horizontal="center" vertical="center"/>
    </xf>
    <xf numFmtId="4" fontId="64" fillId="24" borderId="10" xfId="37" applyNumberFormat="1" applyFont="1" applyFill="1" applyBorder="1" applyAlignment="1">
      <alignment horizontal="center" vertical="center" wrapText="1"/>
    </xf>
    <xf numFmtId="49" fontId="66" fillId="24" borderId="10" xfId="55" applyNumberFormat="1" applyFont="1" applyFill="1" applyBorder="1" applyAlignment="1">
      <alignment horizontal="center" vertical="center"/>
    </xf>
    <xf numFmtId="49" fontId="66" fillId="24" borderId="10" xfId="37" applyNumberFormat="1" applyFont="1" applyFill="1" applyBorder="1" applyAlignment="1">
      <alignment horizontal="center" vertical="center" wrapText="1"/>
    </xf>
    <xf numFmtId="0" fontId="56" fillId="26" borderId="0" xfId="37" applyFont="1" applyFill="1"/>
    <xf numFmtId="0" fontId="56" fillId="26" borderId="10" xfId="37" applyFont="1" applyFill="1" applyBorder="1" applyAlignment="1">
      <alignment horizontal="center" textRotation="90" wrapText="1"/>
    </xf>
    <xf numFmtId="0" fontId="56" fillId="26" borderId="10" xfId="37" applyNumberFormat="1" applyFont="1" applyFill="1" applyBorder="1" applyAlignment="1">
      <alignment horizontal="center" vertical="center"/>
    </xf>
    <xf numFmtId="166" fontId="62" fillId="26" borderId="10" xfId="37" applyNumberFormat="1" applyFont="1" applyFill="1" applyBorder="1" applyAlignment="1">
      <alignment wrapText="1"/>
    </xf>
    <xf numFmtId="0" fontId="56" fillId="27" borderId="0" xfId="37" applyFont="1" applyFill="1"/>
    <xf numFmtId="0" fontId="56" fillId="27" borderId="10" xfId="37" applyFont="1" applyFill="1" applyBorder="1" applyAlignment="1">
      <alignment horizontal="center" textRotation="90" wrapText="1"/>
    </xf>
    <xf numFmtId="0" fontId="56" fillId="27" borderId="10" xfId="37" applyNumberFormat="1" applyFont="1" applyFill="1" applyBorder="1" applyAlignment="1">
      <alignment horizontal="center" vertical="center"/>
    </xf>
    <xf numFmtId="166" fontId="62" fillId="27" borderId="10" xfId="37" applyNumberFormat="1" applyFont="1" applyFill="1" applyBorder="1" applyAlignment="1">
      <alignment wrapText="1"/>
    </xf>
    <xf numFmtId="0" fontId="56" fillId="24" borderId="0" xfId="37" applyFont="1" applyFill="1"/>
    <xf numFmtId="0" fontId="56" fillId="24" borderId="0" xfId="37" applyFont="1" applyFill="1" applyAlignment="1">
      <alignment horizontal="center" wrapText="1"/>
    </xf>
    <xf numFmtId="0" fontId="56" fillId="24" borderId="0" xfId="37" applyFont="1" applyFill="1" applyAlignment="1">
      <alignment horizontal="right" vertical="center"/>
    </xf>
    <xf numFmtId="0" fontId="56" fillId="24" borderId="0" xfId="37" applyFont="1" applyFill="1" applyAlignment="1">
      <alignment horizontal="right"/>
    </xf>
    <xf numFmtId="0" fontId="56" fillId="24" borderId="0" xfId="0" applyFont="1" applyFill="1"/>
    <xf numFmtId="0" fontId="56" fillId="24" borderId="0" xfId="0" applyFont="1" applyFill="1" applyAlignment="1">
      <alignment horizontal="center"/>
    </xf>
    <xf numFmtId="49" fontId="65" fillId="25" borderId="10" xfId="55" applyNumberFormat="1" applyFont="1" applyFill="1" applyBorder="1" applyAlignment="1">
      <alignment horizontal="center" vertical="center"/>
    </xf>
    <xf numFmtId="0" fontId="64" fillId="24" borderId="10" xfId="37" applyFont="1" applyFill="1" applyBorder="1" applyAlignment="1">
      <alignment horizontal="center"/>
    </xf>
    <xf numFmtId="0" fontId="65" fillId="25" borderId="10" xfId="37" applyFont="1" applyFill="1" applyBorder="1" applyAlignment="1">
      <alignment horizontal="center"/>
    </xf>
    <xf numFmtId="49" fontId="65" fillId="25" borderId="10" xfId="37" applyNumberFormat="1" applyFont="1" applyFill="1" applyBorder="1" applyAlignment="1">
      <alignment horizontal="center" vertical="center" wrapText="1"/>
    </xf>
    <xf numFmtId="49" fontId="64" fillId="24" borderId="10" xfId="804" applyNumberFormat="1" applyFont="1" applyFill="1" applyBorder="1" applyAlignment="1">
      <alignment horizontal="center" vertical="center" wrapText="1"/>
    </xf>
    <xf numFmtId="49" fontId="65" fillId="25" borderId="10" xfId="804" applyNumberFormat="1" applyFont="1" applyFill="1" applyBorder="1" applyAlignment="1">
      <alignment horizontal="center" vertical="center" wrapText="1"/>
    </xf>
    <xf numFmtId="0" fontId="64" fillId="24" borderId="10" xfId="37" applyFont="1" applyFill="1" applyBorder="1" applyAlignment="1">
      <alignment horizontal="center" vertical="center"/>
    </xf>
    <xf numFmtId="0" fontId="65" fillId="25" borderId="10" xfId="37" applyFont="1" applyFill="1" applyBorder="1" applyAlignment="1">
      <alignment horizontal="center" vertical="center"/>
    </xf>
    <xf numFmtId="169" fontId="64" fillId="24" borderId="10" xfId="37" applyNumberFormat="1" applyFont="1" applyFill="1" applyBorder="1" applyAlignment="1">
      <alignment horizontal="center" vertical="center" wrapText="1"/>
    </xf>
    <xf numFmtId="169" fontId="65" fillId="25" borderId="10" xfId="0" applyNumberFormat="1" applyFont="1" applyFill="1" applyBorder="1" applyAlignment="1">
      <alignment horizontal="center" vertical="center"/>
    </xf>
    <xf numFmtId="169" fontId="66" fillId="24" borderId="10" xfId="0" applyNumberFormat="1" applyFont="1" applyFill="1" applyBorder="1" applyAlignment="1">
      <alignment horizontal="center" vertical="center"/>
    </xf>
    <xf numFmtId="169" fontId="66" fillId="24" borderId="10" xfId="37" applyNumberFormat="1" applyFont="1" applyFill="1" applyBorder="1" applyAlignment="1">
      <alignment horizontal="center" vertical="center"/>
    </xf>
    <xf numFmtId="169" fontId="64" fillId="24" borderId="10" xfId="0" applyNumberFormat="1" applyFont="1" applyFill="1" applyBorder="1" applyAlignment="1">
      <alignment horizontal="center" vertical="center"/>
    </xf>
    <xf numFmtId="169" fontId="66" fillId="24" borderId="10" xfId="37" applyNumberFormat="1" applyFont="1" applyFill="1" applyBorder="1" applyAlignment="1">
      <alignment horizontal="center" vertical="center" wrapText="1"/>
    </xf>
    <xf numFmtId="169" fontId="65" fillId="25" borderId="10" xfId="37" applyNumberFormat="1" applyFont="1" applyFill="1" applyBorder="1" applyAlignment="1">
      <alignment horizontal="center" vertical="center" wrapText="1"/>
    </xf>
    <xf numFmtId="169" fontId="65" fillId="25" borderId="10" xfId="37" applyNumberFormat="1" applyFont="1" applyFill="1" applyBorder="1" applyAlignment="1">
      <alignment horizontal="center" vertical="center"/>
    </xf>
    <xf numFmtId="0" fontId="56" fillId="24" borderId="0" xfId="0" applyFont="1" applyFill="1" applyAlignment="1">
      <alignment horizontal="center"/>
    </xf>
    <xf numFmtId="0" fontId="56" fillId="24" borderId="0" xfId="37" applyFont="1" applyFill="1" applyAlignment="1">
      <alignment horizontal="center" wrapText="1"/>
    </xf>
    <xf numFmtId="169" fontId="65" fillId="24" borderId="10" xfId="37" applyNumberFormat="1" applyFont="1" applyFill="1" applyBorder="1" applyAlignment="1">
      <alignment horizontal="center" vertical="center" wrapText="1"/>
    </xf>
    <xf numFmtId="0" fontId="56" fillId="26" borderId="0" xfId="37" applyFont="1" applyFill="1" applyAlignment="1">
      <alignment horizontal="center" wrapText="1"/>
    </xf>
    <xf numFmtId="0" fontId="56" fillId="26" borderId="0" xfId="0" applyFont="1" applyFill="1"/>
    <xf numFmtId="0" fontId="56" fillId="26" borderId="0" xfId="0" applyFont="1" applyFill="1" applyAlignment="1">
      <alignment horizontal="center"/>
    </xf>
    <xf numFmtId="169" fontId="64" fillId="26" borderId="10" xfId="37" applyNumberFormat="1" applyFont="1" applyFill="1" applyBorder="1" applyAlignment="1">
      <alignment horizontal="center" vertical="center"/>
    </xf>
    <xf numFmtId="169" fontId="64" fillId="26" borderId="10" xfId="37" applyNumberFormat="1" applyFont="1" applyFill="1" applyBorder="1" applyAlignment="1">
      <alignment horizontal="center" vertical="center" wrapText="1"/>
    </xf>
    <xf numFmtId="4" fontId="64" fillId="26" borderId="10" xfId="37" applyNumberFormat="1" applyFont="1" applyFill="1" applyBorder="1" applyAlignment="1">
      <alignment horizontal="center" vertical="center" wrapText="1"/>
    </xf>
    <xf numFmtId="4" fontId="64" fillId="26" borderId="10" xfId="37" applyNumberFormat="1" applyFont="1" applyFill="1" applyBorder="1" applyAlignment="1">
      <alignment horizontal="center" vertical="center"/>
    </xf>
    <xf numFmtId="169" fontId="65" fillId="26" borderId="10" xfId="0" applyNumberFormat="1" applyFont="1" applyFill="1" applyBorder="1" applyAlignment="1">
      <alignment horizontal="center" vertical="center"/>
    </xf>
    <xf numFmtId="169" fontId="66" fillId="26" borderId="10" xfId="0" applyNumberFormat="1" applyFont="1" applyFill="1" applyBorder="1" applyAlignment="1">
      <alignment horizontal="center" vertical="center"/>
    </xf>
    <xf numFmtId="169" fontId="66" fillId="26" borderId="10" xfId="37" applyNumberFormat="1" applyFont="1" applyFill="1" applyBorder="1" applyAlignment="1">
      <alignment horizontal="center" vertical="center"/>
    </xf>
    <xf numFmtId="169" fontId="64" fillId="26" borderId="10" xfId="0" applyNumberFormat="1" applyFont="1" applyFill="1" applyBorder="1" applyAlignment="1">
      <alignment horizontal="center" vertical="center"/>
    </xf>
    <xf numFmtId="169" fontId="66" fillId="26" borderId="10" xfId="37" applyNumberFormat="1" applyFont="1" applyFill="1" applyBorder="1" applyAlignment="1">
      <alignment horizontal="center" vertical="center" wrapText="1"/>
    </xf>
    <xf numFmtId="169" fontId="65" fillId="26" borderId="10" xfId="37" applyNumberFormat="1" applyFont="1" applyFill="1" applyBorder="1" applyAlignment="1">
      <alignment horizontal="center" vertical="center" wrapText="1"/>
    </xf>
    <xf numFmtId="169" fontId="65" fillId="26" borderId="10" xfId="37" applyNumberFormat="1" applyFont="1" applyFill="1" applyBorder="1" applyAlignment="1">
      <alignment horizontal="center" vertical="center"/>
    </xf>
    <xf numFmtId="0" fontId="65" fillId="25" borderId="10" xfId="37" applyFont="1" applyFill="1" applyBorder="1" applyAlignment="1">
      <alignment horizontal="center" vertical="center" wrapText="1"/>
    </xf>
    <xf numFmtId="0" fontId="56" fillId="27" borderId="0" xfId="37" applyFont="1" applyFill="1" applyAlignment="1">
      <alignment horizontal="center" wrapText="1"/>
    </xf>
    <xf numFmtId="0" fontId="56" fillId="27" borderId="0" xfId="0" applyFont="1" applyFill="1"/>
    <xf numFmtId="0" fontId="56" fillId="27" borderId="0" xfId="0" applyFont="1" applyFill="1" applyAlignment="1">
      <alignment horizontal="center"/>
    </xf>
    <xf numFmtId="169" fontId="64" fillId="27" borderId="10" xfId="37" applyNumberFormat="1" applyFont="1" applyFill="1" applyBorder="1" applyAlignment="1">
      <alignment horizontal="center" vertical="center"/>
    </xf>
    <xf numFmtId="169" fontId="64" fillId="27" borderId="10" xfId="37" applyNumberFormat="1" applyFont="1" applyFill="1" applyBorder="1" applyAlignment="1">
      <alignment horizontal="center" vertical="center" wrapText="1"/>
    </xf>
    <xf numFmtId="4" fontId="64" fillId="27" borderId="10" xfId="37" applyNumberFormat="1" applyFont="1" applyFill="1" applyBorder="1" applyAlignment="1">
      <alignment horizontal="center" vertical="center" wrapText="1"/>
    </xf>
    <xf numFmtId="4" fontId="64" fillId="27" borderId="10" xfId="37" applyNumberFormat="1" applyFont="1" applyFill="1" applyBorder="1" applyAlignment="1">
      <alignment horizontal="center" vertical="center"/>
    </xf>
    <xf numFmtId="169" fontId="65" fillId="27" borderId="10" xfId="0" applyNumberFormat="1" applyFont="1" applyFill="1" applyBorder="1" applyAlignment="1">
      <alignment horizontal="center" vertical="center"/>
    </xf>
    <xf numFmtId="169" fontId="66" fillId="27" borderId="10" xfId="0" applyNumberFormat="1" applyFont="1" applyFill="1" applyBorder="1" applyAlignment="1">
      <alignment horizontal="center" vertical="center"/>
    </xf>
    <xf numFmtId="169" fontId="66" fillId="27" borderId="10" xfId="37" applyNumberFormat="1" applyFont="1" applyFill="1" applyBorder="1" applyAlignment="1">
      <alignment horizontal="center" vertical="center"/>
    </xf>
    <xf numFmtId="169" fontId="64" fillId="27" borderId="10" xfId="0" applyNumberFormat="1" applyFont="1" applyFill="1" applyBorder="1" applyAlignment="1">
      <alignment horizontal="center" vertical="center"/>
    </xf>
    <xf numFmtId="169" fontId="66" fillId="27" borderId="10" xfId="37" applyNumberFormat="1" applyFont="1" applyFill="1" applyBorder="1" applyAlignment="1">
      <alignment horizontal="center" vertical="center" wrapText="1"/>
    </xf>
    <xf numFmtId="169" fontId="65" fillId="27" borderId="10" xfId="37" applyNumberFormat="1" applyFont="1" applyFill="1" applyBorder="1" applyAlignment="1">
      <alignment horizontal="center" vertical="center" wrapText="1"/>
    </xf>
    <xf numFmtId="169" fontId="65" fillId="27" borderId="10" xfId="37" applyNumberFormat="1" applyFont="1" applyFill="1" applyBorder="1" applyAlignment="1">
      <alignment horizontal="center" vertical="center"/>
    </xf>
    <xf numFmtId="169" fontId="65" fillId="24" borderId="10" xfId="37" applyNumberFormat="1" applyFont="1" applyFill="1" applyBorder="1" applyAlignment="1">
      <alignment horizontal="center" vertical="center"/>
    </xf>
    <xf numFmtId="0" fontId="56" fillId="24" borderId="10" xfId="37" applyFont="1" applyFill="1" applyBorder="1" applyAlignment="1">
      <alignment horizontal="center" textRotation="90" wrapText="1"/>
    </xf>
    <xf numFmtId="0" fontId="56" fillId="24" borderId="10" xfId="37" applyNumberFormat="1" applyFont="1" applyFill="1" applyBorder="1" applyAlignment="1">
      <alignment horizontal="center" vertical="center"/>
    </xf>
    <xf numFmtId="169" fontId="65" fillId="24" borderId="10" xfId="0" applyNumberFormat="1" applyFont="1" applyFill="1" applyBorder="1" applyAlignment="1">
      <alignment horizontal="center" vertical="center"/>
    </xf>
    <xf numFmtId="166" fontId="62" fillId="24" borderId="10" xfId="37" applyNumberFormat="1" applyFont="1" applyFill="1" applyBorder="1" applyAlignment="1">
      <alignment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0" xfId="280" applyFont="1" applyFill="1" applyAlignment="1">
      <alignment horizontal="left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0" fontId="63" fillId="26" borderId="10" xfId="45" applyFont="1" applyFill="1" applyBorder="1" applyAlignment="1">
      <alignment horizontal="center" vertical="center" wrapText="1"/>
    </xf>
    <xf numFmtId="0" fontId="63" fillId="0" borderId="10" xfId="45" applyFont="1" applyFill="1" applyBorder="1" applyAlignment="1">
      <alignment horizontal="center" vertical="center"/>
    </xf>
    <xf numFmtId="0" fontId="56" fillId="0" borderId="11" xfId="37" applyFont="1" applyFill="1" applyBorder="1" applyAlignment="1">
      <alignment horizontal="center" vertical="center" wrapText="1"/>
    </xf>
    <xf numFmtId="0" fontId="56" fillId="0" borderId="13" xfId="37" applyFont="1" applyFill="1" applyBorder="1" applyAlignment="1">
      <alignment horizontal="center" vertical="center" wrapText="1"/>
    </xf>
    <xf numFmtId="0" fontId="63" fillId="27" borderId="10" xfId="45" applyFont="1" applyFill="1" applyBorder="1" applyAlignment="1">
      <alignment horizontal="center" vertical="center" wrapText="1"/>
    </xf>
    <xf numFmtId="0" fontId="63" fillId="0" borderId="10" xfId="45" applyFont="1" applyFill="1" applyBorder="1" applyAlignment="1">
      <alignment horizontal="center" vertical="center" wrapText="1"/>
    </xf>
    <xf numFmtId="0" fontId="56" fillId="24" borderId="0" xfId="0" applyFont="1" applyFill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39" fillId="24" borderId="0" xfId="55" applyFont="1" applyFill="1" applyAlignment="1">
      <alignment horizontal="center" vertical="top"/>
    </xf>
    <xf numFmtId="0" fontId="56" fillId="0" borderId="0" xfId="0" applyFont="1" applyFill="1" applyAlignment="1">
      <alignment horizontal="center"/>
    </xf>
    <xf numFmtId="1" fontId="62" fillId="0" borderId="12" xfId="37" applyNumberFormat="1" applyFont="1" applyBorder="1" applyAlignment="1">
      <alignment horizontal="center" vertical="top"/>
    </xf>
    <xf numFmtId="1" fontId="62" fillId="0" borderId="24" xfId="37" applyNumberFormat="1" applyFont="1" applyBorder="1" applyAlignment="1">
      <alignment horizontal="center" vertical="top"/>
    </xf>
    <xf numFmtId="1" fontId="62" fillId="0" borderId="18" xfId="37" applyNumberFormat="1" applyFont="1" applyBorder="1" applyAlignment="1">
      <alignment horizontal="center" vertical="top"/>
    </xf>
    <xf numFmtId="0" fontId="56" fillId="24" borderId="0" xfId="37" applyFont="1" applyFill="1" applyAlignment="1">
      <alignment horizontal="center" wrapText="1"/>
    </xf>
    <xf numFmtId="0" fontId="56" fillId="0" borderId="10" xfId="37" applyFont="1" applyFill="1" applyBorder="1" applyAlignment="1">
      <alignment horizontal="center" vertical="center" wrapText="1"/>
    </xf>
    <xf numFmtId="0" fontId="56" fillId="0" borderId="0" xfId="37" applyFont="1" applyAlignment="1">
      <alignment horizontal="center" wrapText="1"/>
    </xf>
    <xf numFmtId="0" fontId="56" fillId="24" borderId="10" xfId="37" applyFont="1" applyFill="1" applyBorder="1" applyAlignment="1">
      <alignment horizontal="center" vertical="center" wrapText="1"/>
    </xf>
    <xf numFmtId="0" fontId="56" fillId="0" borderId="17" xfId="37" applyFont="1" applyFill="1" applyBorder="1" applyAlignment="1">
      <alignment horizontal="center" vertical="center" wrapText="1"/>
    </xf>
    <xf numFmtId="0" fontId="56" fillId="0" borderId="12" xfId="37" applyFont="1" applyFill="1" applyBorder="1" applyAlignment="1">
      <alignment horizontal="center" vertical="center" wrapText="1"/>
    </xf>
    <xf numFmtId="0" fontId="56" fillId="0" borderId="24" xfId="37" applyFont="1" applyFill="1" applyBorder="1" applyAlignment="1">
      <alignment horizontal="center" vertical="center" wrapText="1"/>
    </xf>
    <xf numFmtId="0" fontId="56" fillId="0" borderId="18" xfId="37" applyFont="1" applyFill="1" applyBorder="1" applyAlignment="1">
      <alignment horizontal="center" vertical="center" wrapText="1"/>
    </xf>
    <xf numFmtId="0" fontId="63" fillId="24" borderId="10" xfId="45" applyFont="1" applyFill="1" applyBorder="1" applyAlignment="1">
      <alignment horizontal="center" vertical="center" wrapText="1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56</v>
      </c>
    </row>
    <row r="2" spans="1:30" ht="18.75" x14ac:dyDescent="0.3">
      <c r="AC2" s="29" t="s">
        <v>0</v>
      </c>
    </row>
    <row r="3" spans="1:30" ht="18.75" x14ac:dyDescent="0.3">
      <c r="AC3" s="29" t="s">
        <v>854</v>
      </c>
    </row>
    <row r="4" spans="1:30" s="8" customFormat="1" ht="18.75" x14ac:dyDescent="0.3">
      <c r="A4" s="325" t="s">
        <v>222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5"/>
      <c r="AB4" s="325"/>
      <c r="AC4" s="325"/>
    </row>
    <row r="5" spans="1:30" s="8" customFormat="1" ht="18.75" x14ac:dyDescent="0.3">
      <c r="A5" s="318" t="s">
        <v>65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  <c r="Z5" s="318"/>
      <c r="AA5" s="318"/>
      <c r="AB5" s="318"/>
      <c r="AC5" s="318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318" t="s">
        <v>851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8"/>
      <c r="T7" s="318"/>
      <c r="U7" s="318"/>
      <c r="V7" s="318"/>
      <c r="W7" s="318"/>
      <c r="X7" s="318"/>
      <c r="Y7" s="318"/>
      <c r="Z7" s="318"/>
      <c r="AA7" s="318"/>
      <c r="AB7" s="318"/>
      <c r="AC7" s="318"/>
    </row>
    <row r="8" spans="1:30" x14ac:dyDescent="0.25">
      <c r="A8" s="321" t="s">
        <v>114</v>
      </c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  <c r="N8" s="321"/>
      <c r="O8" s="321"/>
      <c r="P8" s="321"/>
      <c r="Q8" s="321"/>
      <c r="R8" s="321"/>
      <c r="S8" s="321"/>
      <c r="T8" s="321"/>
      <c r="U8" s="321"/>
      <c r="V8" s="321"/>
      <c r="W8" s="321"/>
      <c r="X8" s="321"/>
      <c r="Y8" s="321"/>
      <c r="Z8" s="321"/>
      <c r="AA8" s="321"/>
      <c r="AB8" s="321"/>
      <c r="AC8" s="321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319" t="s">
        <v>21</v>
      </c>
      <c r="B10" s="319"/>
      <c r="C10" s="319"/>
      <c r="D10" s="319"/>
      <c r="E10" s="319"/>
      <c r="F10" s="319"/>
      <c r="G10" s="319"/>
      <c r="H10" s="319"/>
      <c r="I10" s="319"/>
      <c r="J10" s="319"/>
      <c r="K10" s="319"/>
      <c r="L10" s="319"/>
      <c r="M10" s="319"/>
      <c r="N10" s="319"/>
      <c r="O10" s="319"/>
      <c r="P10" s="319"/>
      <c r="Q10" s="319"/>
      <c r="R10" s="319"/>
      <c r="S10" s="319"/>
      <c r="T10" s="319"/>
      <c r="U10" s="319"/>
      <c r="V10" s="319"/>
      <c r="W10" s="319"/>
      <c r="X10" s="319"/>
      <c r="Y10" s="319"/>
      <c r="Z10" s="319"/>
      <c r="AA10" s="319"/>
      <c r="AB10" s="319"/>
      <c r="AC10" s="319"/>
    </row>
    <row r="12" spans="1:30" ht="18.75" x14ac:dyDescent="0.25">
      <c r="A12" s="314" t="s">
        <v>856</v>
      </c>
      <c r="B12" s="315"/>
      <c r="C12" s="315"/>
      <c r="D12" s="315"/>
      <c r="E12" s="315"/>
      <c r="F12" s="315"/>
      <c r="G12" s="315"/>
      <c r="H12" s="315"/>
      <c r="I12" s="315"/>
      <c r="J12" s="315"/>
      <c r="K12" s="315"/>
      <c r="L12" s="315"/>
      <c r="M12" s="315"/>
      <c r="N12" s="315"/>
      <c r="O12" s="315"/>
      <c r="P12" s="315"/>
      <c r="Q12" s="315"/>
      <c r="R12" s="315"/>
      <c r="S12" s="315"/>
      <c r="T12" s="315"/>
      <c r="U12" s="315"/>
      <c r="V12" s="315"/>
      <c r="W12" s="315"/>
      <c r="X12" s="315"/>
      <c r="Y12" s="315"/>
      <c r="Z12" s="315"/>
      <c r="AA12" s="315"/>
      <c r="AB12" s="315"/>
      <c r="AC12" s="315"/>
    </row>
    <row r="13" spans="1:30" x14ac:dyDescent="0.25">
      <c r="A13" s="321" t="s">
        <v>855</v>
      </c>
      <c r="B13" s="321"/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</row>
    <row r="15" spans="1:30" ht="78" customHeight="1" x14ac:dyDescent="0.25">
      <c r="A15" s="326" t="s">
        <v>66</v>
      </c>
      <c r="B15" s="320" t="s">
        <v>20</v>
      </c>
      <c r="C15" s="320" t="s">
        <v>5</v>
      </c>
      <c r="D15" s="320" t="s">
        <v>868</v>
      </c>
      <c r="E15" s="320" t="s">
        <v>869</v>
      </c>
      <c r="F15" s="320" t="s">
        <v>870</v>
      </c>
      <c r="G15" s="320" t="s">
        <v>871</v>
      </c>
      <c r="H15" s="320" t="s">
        <v>872</v>
      </c>
      <c r="I15" s="320"/>
      <c r="J15" s="320"/>
      <c r="K15" s="320"/>
      <c r="L15" s="320"/>
      <c r="M15" s="320"/>
      <c r="N15" s="320"/>
      <c r="O15" s="320"/>
      <c r="P15" s="320"/>
      <c r="Q15" s="320"/>
      <c r="R15" s="320" t="s">
        <v>873</v>
      </c>
      <c r="S15" s="316" t="s">
        <v>817</v>
      </c>
      <c r="T15" s="317"/>
      <c r="U15" s="317"/>
      <c r="V15" s="317"/>
      <c r="W15" s="317"/>
      <c r="X15" s="317"/>
      <c r="Y15" s="317"/>
      <c r="Z15" s="317"/>
      <c r="AA15" s="317"/>
      <c r="AB15" s="317"/>
      <c r="AC15" s="320" t="s">
        <v>7</v>
      </c>
    </row>
    <row r="16" spans="1:30" ht="39" customHeight="1" x14ac:dyDescent="0.25">
      <c r="A16" s="327"/>
      <c r="B16" s="320"/>
      <c r="C16" s="320"/>
      <c r="D16" s="320"/>
      <c r="E16" s="320"/>
      <c r="F16" s="320"/>
      <c r="G16" s="329"/>
      <c r="H16" s="320" t="s">
        <v>9</v>
      </c>
      <c r="I16" s="320"/>
      <c r="J16" s="320"/>
      <c r="K16" s="320"/>
      <c r="L16" s="320"/>
      <c r="M16" s="320" t="s">
        <v>10</v>
      </c>
      <c r="N16" s="320"/>
      <c r="O16" s="320"/>
      <c r="P16" s="320"/>
      <c r="Q16" s="320"/>
      <c r="R16" s="320"/>
      <c r="S16" s="322" t="s">
        <v>27</v>
      </c>
      <c r="T16" s="317"/>
      <c r="U16" s="323" t="s">
        <v>16</v>
      </c>
      <c r="V16" s="323"/>
      <c r="W16" s="323" t="s">
        <v>62</v>
      </c>
      <c r="X16" s="317"/>
      <c r="Y16" s="323" t="s">
        <v>67</v>
      </c>
      <c r="Z16" s="317"/>
      <c r="AA16" s="323" t="s">
        <v>17</v>
      </c>
      <c r="AB16" s="317"/>
      <c r="AC16" s="320"/>
    </row>
    <row r="17" spans="1:29" ht="112.5" customHeight="1" x14ac:dyDescent="0.25">
      <c r="A17" s="327"/>
      <c r="B17" s="320"/>
      <c r="C17" s="320"/>
      <c r="D17" s="320"/>
      <c r="E17" s="320"/>
      <c r="F17" s="320"/>
      <c r="G17" s="329"/>
      <c r="H17" s="324" t="s">
        <v>27</v>
      </c>
      <c r="I17" s="324" t="s">
        <v>16</v>
      </c>
      <c r="J17" s="323" t="s">
        <v>62</v>
      </c>
      <c r="K17" s="324" t="s">
        <v>67</v>
      </c>
      <c r="L17" s="324" t="s">
        <v>17</v>
      </c>
      <c r="M17" s="330" t="s">
        <v>18</v>
      </c>
      <c r="N17" s="330" t="s">
        <v>16</v>
      </c>
      <c r="O17" s="323" t="s">
        <v>62</v>
      </c>
      <c r="P17" s="330" t="s">
        <v>67</v>
      </c>
      <c r="Q17" s="330" t="s">
        <v>17</v>
      </c>
      <c r="R17" s="320"/>
      <c r="S17" s="317"/>
      <c r="T17" s="317"/>
      <c r="U17" s="323"/>
      <c r="V17" s="323"/>
      <c r="W17" s="317"/>
      <c r="X17" s="317"/>
      <c r="Y17" s="317"/>
      <c r="Z17" s="317"/>
      <c r="AA17" s="317"/>
      <c r="AB17" s="317"/>
      <c r="AC17" s="320"/>
    </row>
    <row r="18" spans="1:29" ht="64.5" customHeight="1" x14ac:dyDescent="0.25">
      <c r="A18" s="328"/>
      <c r="B18" s="320"/>
      <c r="C18" s="320"/>
      <c r="D18" s="320"/>
      <c r="E18" s="320"/>
      <c r="F18" s="320"/>
      <c r="G18" s="329"/>
      <c r="H18" s="324"/>
      <c r="I18" s="324"/>
      <c r="J18" s="323"/>
      <c r="K18" s="324"/>
      <c r="L18" s="324"/>
      <c r="M18" s="330"/>
      <c r="N18" s="330"/>
      <c r="O18" s="323"/>
      <c r="P18" s="330"/>
      <c r="Q18" s="330"/>
      <c r="R18" s="320"/>
      <c r="S18" s="195" t="s">
        <v>874</v>
      </c>
      <c r="T18" s="151" t="s">
        <v>8</v>
      </c>
      <c r="U18" s="195" t="s">
        <v>874</v>
      </c>
      <c r="V18" s="151" t="s">
        <v>8</v>
      </c>
      <c r="W18" s="195" t="s">
        <v>874</v>
      </c>
      <c r="X18" s="151" t="s">
        <v>8</v>
      </c>
      <c r="Y18" s="195" t="s">
        <v>874</v>
      </c>
      <c r="Z18" s="151" t="s">
        <v>8</v>
      </c>
      <c r="AA18" s="195" t="s">
        <v>874</v>
      </c>
      <c r="AB18" s="151" t="s">
        <v>8</v>
      </c>
      <c r="AC18" s="320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331" t="s">
        <v>115</v>
      </c>
      <c r="B21" s="332"/>
      <c r="C21" s="333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37" t="s">
        <v>849</v>
      </c>
      <c r="B23" s="337"/>
      <c r="C23" s="337"/>
      <c r="D23" s="337"/>
      <c r="E23" s="337"/>
      <c r="F23" s="337"/>
      <c r="G23" s="337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334"/>
    </row>
    <row r="27" spans="1:29" x14ac:dyDescent="0.25">
      <c r="J27" s="335"/>
    </row>
    <row r="28" spans="1:29" x14ac:dyDescent="0.25">
      <c r="J28" s="335"/>
    </row>
    <row r="29" spans="1:29" x14ac:dyDescent="0.25">
      <c r="J29" s="336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CX96"/>
  <sheetViews>
    <sheetView tabSelected="1" view="pageBreakPreview" zoomScale="90" zoomScaleNormal="70" zoomScaleSheetLayoutView="90" workbookViewId="0">
      <selection activeCell="A14" sqref="A14:BC14"/>
    </sheetView>
  </sheetViews>
  <sheetFormatPr defaultRowHeight="12" x14ac:dyDescent="0.2"/>
  <cols>
    <col min="1" max="1" width="8.375" style="227" customWidth="1"/>
    <col min="2" max="2" width="82.75" style="227" customWidth="1"/>
    <col min="3" max="3" width="11.75" style="227" customWidth="1"/>
    <col min="4" max="4" width="7.125" style="227" customWidth="1"/>
    <col min="5" max="6" width="6.25" style="222" customWidth="1"/>
    <col min="7" max="7" width="7" style="222" customWidth="1"/>
    <col min="8" max="8" width="6.25" style="222" customWidth="1"/>
    <col min="9" max="9" width="6.5" style="222" customWidth="1"/>
    <col min="10" max="11" width="6.25" style="251" customWidth="1"/>
    <col min="12" max="12" width="5.75" style="251" customWidth="1"/>
    <col min="13" max="14" width="6.25" style="251" customWidth="1"/>
    <col min="15" max="16" width="6.25" style="247" customWidth="1"/>
    <col min="17" max="17" width="6" style="247" customWidth="1"/>
    <col min="18" max="19" width="6.25" style="247" customWidth="1"/>
    <col min="20" max="21" width="6.25" style="222" customWidth="1"/>
    <col min="22" max="22" width="6.375" style="222" customWidth="1"/>
    <col min="23" max="24" width="6.25" style="222" customWidth="1"/>
    <col min="25" max="26" width="6.25" style="227" customWidth="1"/>
    <col min="27" max="27" width="6.125" style="227" customWidth="1"/>
    <col min="28" max="29" width="6.25" style="227" customWidth="1"/>
    <col min="30" max="30" width="6.125" style="227" customWidth="1"/>
    <col min="31" max="32" width="6.25" style="227" customWidth="1"/>
    <col min="33" max="33" width="6.75" style="227" customWidth="1"/>
    <col min="34" max="35" width="6.25" style="227" customWidth="1"/>
    <col min="36" max="37" width="6.25" style="251" customWidth="1"/>
    <col min="38" max="38" width="6" style="251" customWidth="1"/>
    <col min="39" max="40" width="6.25" style="251" customWidth="1"/>
    <col min="41" max="41" width="9.5" style="255" customWidth="1"/>
    <col min="42" max="42" width="6.25" style="255" customWidth="1"/>
    <col min="43" max="43" width="6" style="255" customWidth="1"/>
    <col min="44" max="45" width="6.25" style="255" customWidth="1"/>
    <col min="46" max="47" width="6.25" style="247" customWidth="1"/>
    <col min="48" max="48" width="6.125" style="247" customWidth="1"/>
    <col min="49" max="50" width="6.25" style="247" customWidth="1"/>
    <col min="51" max="51" width="6.25" style="251" customWidth="1"/>
    <col min="52" max="52" width="6.25" style="227" customWidth="1"/>
    <col min="53" max="53" width="6.625" style="227" customWidth="1"/>
    <col min="54" max="55" width="6.25" style="227" customWidth="1"/>
    <col min="56" max="276" width="9" style="227"/>
    <col min="277" max="277" width="36.875" style="227" bestFit="1" customWidth="1"/>
    <col min="278" max="278" width="7.125" style="227" customWidth="1"/>
    <col min="279" max="279" width="6" style="227" customWidth="1"/>
    <col min="280" max="280" width="5.75" style="227" customWidth="1"/>
    <col min="281" max="281" width="10.5" style="227" customWidth="1"/>
    <col min="282" max="282" width="7.5" style="227" customWidth="1"/>
    <col min="283" max="283" width="6.375" style="227" customWidth="1"/>
    <col min="284" max="284" width="6.5" style="227" customWidth="1"/>
    <col min="285" max="285" width="6.375" style="227" customWidth="1"/>
    <col min="286" max="286" width="7.875" style="227" customWidth="1"/>
    <col min="287" max="287" width="7.75" style="227" customWidth="1"/>
    <col min="288" max="291" width="6.5" style="227" customWidth="1"/>
    <col min="292" max="292" width="6.875" style="227" customWidth="1"/>
    <col min="293" max="293" width="9" style="227"/>
    <col min="294" max="294" width="6.125" style="227" customWidth="1"/>
    <col min="295" max="295" width="7.5" style="227" customWidth="1"/>
    <col min="296" max="296" width="7.625" style="227" customWidth="1"/>
    <col min="297" max="297" width="7.75" style="227" customWidth="1"/>
    <col min="298" max="298" width="10.125" style="227" bestFit="1" customWidth="1"/>
    <col min="299" max="299" width="12" style="227" customWidth="1"/>
    <col min="300" max="300" width="10.25" style="227" bestFit="1" customWidth="1"/>
    <col min="301" max="301" width="8.75" style="227" bestFit="1" customWidth="1"/>
    <col min="302" max="302" width="7.75" style="227" customWidth="1"/>
    <col min="303" max="303" width="9.125" style="227" customWidth="1"/>
    <col min="304" max="304" width="9.875" style="227" customWidth="1"/>
    <col min="305" max="305" width="7.75" style="227" customWidth="1"/>
    <col min="306" max="306" width="9.375" style="227" customWidth="1"/>
    <col min="307" max="307" width="9" style="227"/>
    <col min="308" max="308" width="5.875" style="227" customWidth="1"/>
    <col min="309" max="309" width="7.125" style="227" customWidth="1"/>
    <col min="310" max="310" width="8.125" style="227" customWidth="1"/>
    <col min="311" max="311" width="10.25" style="227" customWidth="1"/>
    <col min="312" max="532" width="9" style="227"/>
    <col min="533" max="533" width="36.875" style="227" bestFit="1" customWidth="1"/>
    <col min="534" max="534" width="7.125" style="227" customWidth="1"/>
    <col min="535" max="535" width="6" style="227" customWidth="1"/>
    <col min="536" max="536" width="5.75" style="227" customWidth="1"/>
    <col min="537" max="537" width="10.5" style="227" customWidth="1"/>
    <col min="538" max="538" width="7.5" style="227" customWidth="1"/>
    <col min="539" max="539" width="6.375" style="227" customWidth="1"/>
    <col min="540" max="540" width="6.5" style="227" customWidth="1"/>
    <col min="541" max="541" width="6.375" style="227" customWidth="1"/>
    <col min="542" max="542" width="7.875" style="227" customWidth="1"/>
    <col min="543" max="543" width="7.75" style="227" customWidth="1"/>
    <col min="544" max="547" width="6.5" style="227" customWidth="1"/>
    <col min="548" max="548" width="6.875" style="227" customWidth="1"/>
    <col min="549" max="549" width="9" style="227"/>
    <col min="550" max="550" width="6.125" style="227" customWidth="1"/>
    <col min="551" max="551" width="7.5" style="227" customWidth="1"/>
    <col min="552" max="552" width="7.625" style="227" customWidth="1"/>
    <col min="553" max="553" width="7.75" style="227" customWidth="1"/>
    <col min="554" max="554" width="10.125" style="227" bestFit="1" customWidth="1"/>
    <col min="555" max="555" width="12" style="227" customWidth="1"/>
    <col min="556" max="556" width="10.25" style="227" bestFit="1" customWidth="1"/>
    <col min="557" max="557" width="8.75" style="227" bestFit="1" customWidth="1"/>
    <col min="558" max="558" width="7.75" style="227" customWidth="1"/>
    <col min="559" max="559" width="9.125" style="227" customWidth="1"/>
    <col min="560" max="560" width="9.875" style="227" customWidth="1"/>
    <col min="561" max="561" width="7.75" style="227" customWidth="1"/>
    <col min="562" max="562" width="9.375" style="227" customWidth="1"/>
    <col min="563" max="563" width="9" style="227"/>
    <col min="564" max="564" width="5.875" style="227" customWidth="1"/>
    <col min="565" max="565" width="7.125" style="227" customWidth="1"/>
    <col min="566" max="566" width="8.125" style="227" customWidth="1"/>
    <col min="567" max="567" width="10.25" style="227" customWidth="1"/>
    <col min="568" max="788" width="9" style="227"/>
    <col min="789" max="789" width="36.875" style="227" bestFit="1" customWidth="1"/>
    <col min="790" max="790" width="7.125" style="227" customWidth="1"/>
    <col min="791" max="791" width="6" style="227" customWidth="1"/>
    <col min="792" max="792" width="5.75" style="227" customWidth="1"/>
    <col min="793" max="793" width="10.5" style="227" customWidth="1"/>
    <col min="794" max="794" width="7.5" style="227" customWidth="1"/>
    <col min="795" max="795" width="6.375" style="227" customWidth="1"/>
    <col min="796" max="796" width="6.5" style="227" customWidth="1"/>
    <col min="797" max="797" width="6.375" style="227" customWidth="1"/>
    <col min="798" max="798" width="7.875" style="227" customWidth="1"/>
    <col min="799" max="799" width="7.75" style="227" customWidth="1"/>
    <col min="800" max="803" width="6.5" style="227" customWidth="1"/>
    <col min="804" max="804" width="6.875" style="227" customWidth="1"/>
    <col min="805" max="805" width="9" style="227"/>
    <col min="806" max="806" width="6.125" style="227" customWidth="1"/>
    <col min="807" max="807" width="7.5" style="227" customWidth="1"/>
    <col min="808" max="808" width="7.625" style="227" customWidth="1"/>
    <col min="809" max="809" width="7.75" style="227" customWidth="1"/>
    <col min="810" max="810" width="10.125" style="227" bestFit="1" customWidth="1"/>
    <col min="811" max="811" width="12" style="227" customWidth="1"/>
    <col min="812" max="812" width="10.25" style="227" bestFit="1" customWidth="1"/>
    <col min="813" max="813" width="8.75" style="227" bestFit="1" customWidth="1"/>
    <col min="814" max="814" width="7.75" style="227" customWidth="1"/>
    <col min="815" max="815" width="9.125" style="227" customWidth="1"/>
    <col min="816" max="816" width="9.875" style="227" customWidth="1"/>
    <col min="817" max="817" width="7.75" style="227" customWidth="1"/>
    <col min="818" max="818" width="9.375" style="227" customWidth="1"/>
    <col min="819" max="819" width="9" style="227"/>
    <col min="820" max="820" width="5.875" style="227" customWidth="1"/>
    <col min="821" max="821" width="7.125" style="227" customWidth="1"/>
    <col min="822" max="822" width="8.125" style="227" customWidth="1"/>
    <col min="823" max="823" width="10.25" style="227" customWidth="1"/>
    <col min="824" max="1044" width="9" style="227"/>
    <col min="1045" max="1045" width="36.875" style="227" bestFit="1" customWidth="1"/>
    <col min="1046" max="1046" width="7.125" style="227" customWidth="1"/>
    <col min="1047" max="1047" width="6" style="227" customWidth="1"/>
    <col min="1048" max="1048" width="5.75" style="227" customWidth="1"/>
    <col min="1049" max="1049" width="10.5" style="227" customWidth="1"/>
    <col min="1050" max="1050" width="7.5" style="227" customWidth="1"/>
    <col min="1051" max="1051" width="6.375" style="227" customWidth="1"/>
    <col min="1052" max="1052" width="6.5" style="227" customWidth="1"/>
    <col min="1053" max="1053" width="6.375" style="227" customWidth="1"/>
    <col min="1054" max="1054" width="7.875" style="227" customWidth="1"/>
    <col min="1055" max="1055" width="7.75" style="227" customWidth="1"/>
    <col min="1056" max="1059" width="6.5" style="227" customWidth="1"/>
    <col min="1060" max="1060" width="6.875" style="227" customWidth="1"/>
    <col min="1061" max="1061" width="9" style="227"/>
    <col min="1062" max="1062" width="6.125" style="227" customWidth="1"/>
    <col min="1063" max="1063" width="7.5" style="227" customWidth="1"/>
    <col min="1064" max="1064" width="7.625" style="227" customWidth="1"/>
    <col min="1065" max="1065" width="7.75" style="227" customWidth="1"/>
    <col min="1066" max="1066" width="10.125" style="227" bestFit="1" customWidth="1"/>
    <col min="1067" max="1067" width="12" style="227" customWidth="1"/>
    <col min="1068" max="1068" width="10.25" style="227" bestFit="1" customWidth="1"/>
    <col min="1069" max="1069" width="8.75" style="227" bestFit="1" customWidth="1"/>
    <col min="1070" max="1070" width="7.75" style="227" customWidth="1"/>
    <col min="1071" max="1071" width="9.125" style="227" customWidth="1"/>
    <col min="1072" max="1072" width="9.875" style="227" customWidth="1"/>
    <col min="1073" max="1073" width="7.75" style="227" customWidth="1"/>
    <col min="1074" max="1074" width="9.375" style="227" customWidth="1"/>
    <col min="1075" max="1075" width="9" style="227"/>
    <col min="1076" max="1076" width="5.875" style="227" customWidth="1"/>
    <col min="1077" max="1077" width="7.125" style="227" customWidth="1"/>
    <col min="1078" max="1078" width="8.125" style="227" customWidth="1"/>
    <col min="1079" max="1079" width="10.25" style="227" customWidth="1"/>
    <col min="1080" max="1300" width="9" style="227"/>
    <col min="1301" max="1301" width="36.875" style="227" bestFit="1" customWidth="1"/>
    <col min="1302" max="1302" width="7.125" style="227" customWidth="1"/>
    <col min="1303" max="1303" width="6" style="227" customWidth="1"/>
    <col min="1304" max="1304" width="5.75" style="227" customWidth="1"/>
    <col min="1305" max="1305" width="10.5" style="227" customWidth="1"/>
    <col min="1306" max="1306" width="7.5" style="227" customWidth="1"/>
    <col min="1307" max="1307" width="6.375" style="227" customWidth="1"/>
    <col min="1308" max="1308" width="6.5" style="227" customWidth="1"/>
    <col min="1309" max="1309" width="6.375" style="227" customWidth="1"/>
    <col min="1310" max="1310" width="7.875" style="227" customWidth="1"/>
    <col min="1311" max="1311" width="7.75" style="227" customWidth="1"/>
    <col min="1312" max="1315" width="6.5" style="227" customWidth="1"/>
    <col min="1316" max="1316" width="6.875" style="227" customWidth="1"/>
    <col min="1317" max="1317" width="9" style="227"/>
    <col min="1318" max="1318" width="6.125" style="227" customWidth="1"/>
    <col min="1319" max="1319" width="7.5" style="227" customWidth="1"/>
    <col min="1320" max="1320" width="7.625" style="227" customWidth="1"/>
    <col min="1321" max="1321" width="7.75" style="227" customWidth="1"/>
    <col min="1322" max="1322" width="10.125" style="227" bestFit="1" customWidth="1"/>
    <col min="1323" max="1323" width="12" style="227" customWidth="1"/>
    <col min="1324" max="1324" width="10.25" style="227" bestFit="1" customWidth="1"/>
    <col min="1325" max="1325" width="8.75" style="227" bestFit="1" customWidth="1"/>
    <col min="1326" max="1326" width="7.75" style="227" customWidth="1"/>
    <col min="1327" max="1327" width="9.125" style="227" customWidth="1"/>
    <col min="1328" max="1328" width="9.875" style="227" customWidth="1"/>
    <col min="1329" max="1329" width="7.75" style="227" customWidth="1"/>
    <col min="1330" max="1330" width="9.375" style="227" customWidth="1"/>
    <col min="1331" max="1331" width="9" style="227"/>
    <col min="1332" max="1332" width="5.875" style="227" customWidth="1"/>
    <col min="1333" max="1333" width="7.125" style="227" customWidth="1"/>
    <col min="1334" max="1334" width="8.125" style="227" customWidth="1"/>
    <col min="1335" max="1335" width="10.25" style="227" customWidth="1"/>
    <col min="1336" max="1556" width="9" style="227"/>
    <col min="1557" max="1557" width="36.875" style="227" bestFit="1" customWidth="1"/>
    <col min="1558" max="1558" width="7.125" style="227" customWidth="1"/>
    <col min="1559" max="1559" width="6" style="227" customWidth="1"/>
    <col min="1560" max="1560" width="5.75" style="227" customWidth="1"/>
    <col min="1561" max="1561" width="10.5" style="227" customWidth="1"/>
    <col min="1562" max="1562" width="7.5" style="227" customWidth="1"/>
    <col min="1563" max="1563" width="6.375" style="227" customWidth="1"/>
    <col min="1564" max="1564" width="6.5" style="227" customWidth="1"/>
    <col min="1565" max="1565" width="6.375" style="227" customWidth="1"/>
    <col min="1566" max="1566" width="7.875" style="227" customWidth="1"/>
    <col min="1567" max="1567" width="7.75" style="227" customWidth="1"/>
    <col min="1568" max="1571" width="6.5" style="227" customWidth="1"/>
    <col min="1572" max="1572" width="6.875" style="227" customWidth="1"/>
    <col min="1573" max="1573" width="9" style="227"/>
    <col min="1574" max="1574" width="6.125" style="227" customWidth="1"/>
    <col min="1575" max="1575" width="7.5" style="227" customWidth="1"/>
    <col min="1576" max="1576" width="7.625" style="227" customWidth="1"/>
    <col min="1577" max="1577" width="7.75" style="227" customWidth="1"/>
    <col min="1578" max="1578" width="10.125" style="227" bestFit="1" customWidth="1"/>
    <col min="1579" max="1579" width="12" style="227" customWidth="1"/>
    <col min="1580" max="1580" width="10.25" style="227" bestFit="1" customWidth="1"/>
    <col min="1581" max="1581" width="8.75" style="227" bestFit="1" customWidth="1"/>
    <col min="1582" max="1582" width="7.75" style="227" customWidth="1"/>
    <col min="1583" max="1583" width="9.125" style="227" customWidth="1"/>
    <col min="1584" max="1584" width="9.875" style="227" customWidth="1"/>
    <col min="1585" max="1585" width="7.75" style="227" customWidth="1"/>
    <col min="1586" max="1586" width="9.375" style="227" customWidth="1"/>
    <col min="1587" max="1587" width="9" style="227"/>
    <col min="1588" max="1588" width="5.875" style="227" customWidth="1"/>
    <col min="1589" max="1589" width="7.125" style="227" customWidth="1"/>
    <col min="1590" max="1590" width="8.125" style="227" customWidth="1"/>
    <col min="1591" max="1591" width="10.25" style="227" customWidth="1"/>
    <col min="1592" max="1812" width="9" style="227"/>
    <col min="1813" max="1813" width="36.875" style="227" bestFit="1" customWidth="1"/>
    <col min="1814" max="1814" width="7.125" style="227" customWidth="1"/>
    <col min="1815" max="1815" width="6" style="227" customWidth="1"/>
    <col min="1816" max="1816" width="5.75" style="227" customWidth="1"/>
    <col min="1817" max="1817" width="10.5" style="227" customWidth="1"/>
    <col min="1818" max="1818" width="7.5" style="227" customWidth="1"/>
    <col min="1819" max="1819" width="6.375" style="227" customWidth="1"/>
    <col min="1820" max="1820" width="6.5" style="227" customWidth="1"/>
    <col min="1821" max="1821" width="6.375" style="227" customWidth="1"/>
    <col min="1822" max="1822" width="7.875" style="227" customWidth="1"/>
    <col min="1823" max="1823" width="7.75" style="227" customWidth="1"/>
    <col min="1824" max="1827" width="6.5" style="227" customWidth="1"/>
    <col min="1828" max="1828" width="6.875" style="227" customWidth="1"/>
    <col min="1829" max="1829" width="9" style="227"/>
    <col min="1830" max="1830" width="6.125" style="227" customWidth="1"/>
    <col min="1831" max="1831" width="7.5" style="227" customWidth="1"/>
    <col min="1832" max="1832" width="7.625" style="227" customWidth="1"/>
    <col min="1833" max="1833" width="7.75" style="227" customWidth="1"/>
    <col min="1834" max="1834" width="10.125" style="227" bestFit="1" customWidth="1"/>
    <col min="1835" max="1835" width="12" style="227" customWidth="1"/>
    <col min="1836" max="1836" width="10.25" style="227" bestFit="1" customWidth="1"/>
    <col min="1837" max="1837" width="8.75" style="227" bestFit="1" customWidth="1"/>
    <col min="1838" max="1838" width="7.75" style="227" customWidth="1"/>
    <col min="1839" max="1839" width="9.125" style="227" customWidth="1"/>
    <col min="1840" max="1840" width="9.875" style="227" customWidth="1"/>
    <col min="1841" max="1841" width="7.75" style="227" customWidth="1"/>
    <col min="1842" max="1842" width="9.375" style="227" customWidth="1"/>
    <col min="1843" max="1843" width="9" style="227"/>
    <col min="1844" max="1844" width="5.875" style="227" customWidth="1"/>
    <col min="1845" max="1845" width="7.125" style="227" customWidth="1"/>
    <col min="1846" max="1846" width="8.125" style="227" customWidth="1"/>
    <col min="1847" max="1847" width="10.25" style="227" customWidth="1"/>
    <col min="1848" max="2068" width="9" style="227"/>
    <col min="2069" max="2069" width="36.875" style="227" bestFit="1" customWidth="1"/>
    <col min="2070" max="2070" width="7.125" style="227" customWidth="1"/>
    <col min="2071" max="2071" width="6" style="227" customWidth="1"/>
    <col min="2072" max="2072" width="5.75" style="227" customWidth="1"/>
    <col min="2073" max="2073" width="10.5" style="227" customWidth="1"/>
    <col min="2074" max="2074" width="7.5" style="227" customWidth="1"/>
    <col min="2075" max="2075" width="6.375" style="227" customWidth="1"/>
    <col min="2076" max="2076" width="6.5" style="227" customWidth="1"/>
    <col min="2077" max="2077" width="6.375" style="227" customWidth="1"/>
    <col min="2078" max="2078" width="7.875" style="227" customWidth="1"/>
    <col min="2079" max="2079" width="7.75" style="227" customWidth="1"/>
    <col min="2080" max="2083" width="6.5" style="227" customWidth="1"/>
    <col min="2084" max="2084" width="6.875" style="227" customWidth="1"/>
    <col min="2085" max="2085" width="9" style="227"/>
    <col min="2086" max="2086" width="6.125" style="227" customWidth="1"/>
    <col min="2087" max="2087" width="7.5" style="227" customWidth="1"/>
    <col min="2088" max="2088" width="7.625" style="227" customWidth="1"/>
    <col min="2089" max="2089" width="7.75" style="227" customWidth="1"/>
    <col min="2090" max="2090" width="10.125" style="227" bestFit="1" customWidth="1"/>
    <col min="2091" max="2091" width="12" style="227" customWidth="1"/>
    <col min="2092" max="2092" width="10.25" style="227" bestFit="1" customWidth="1"/>
    <col min="2093" max="2093" width="8.75" style="227" bestFit="1" customWidth="1"/>
    <col min="2094" max="2094" width="7.75" style="227" customWidth="1"/>
    <col min="2095" max="2095" width="9.125" style="227" customWidth="1"/>
    <col min="2096" max="2096" width="9.875" style="227" customWidth="1"/>
    <col min="2097" max="2097" width="7.75" style="227" customWidth="1"/>
    <col min="2098" max="2098" width="9.375" style="227" customWidth="1"/>
    <col min="2099" max="2099" width="9" style="227"/>
    <col min="2100" max="2100" width="5.875" style="227" customWidth="1"/>
    <col min="2101" max="2101" width="7.125" style="227" customWidth="1"/>
    <col min="2102" max="2102" width="8.125" style="227" customWidth="1"/>
    <col min="2103" max="2103" width="10.25" style="227" customWidth="1"/>
    <col min="2104" max="2324" width="9" style="227"/>
    <col min="2325" max="2325" width="36.875" style="227" bestFit="1" customWidth="1"/>
    <col min="2326" max="2326" width="7.125" style="227" customWidth="1"/>
    <col min="2327" max="2327" width="6" style="227" customWidth="1"/>
    <col min="2328" max="2328" width="5.75" style="227" customWidth="1"/>
    <col min="2329" max="2329" width="10.5" style="227" customWidth="1"/>
    <col min="2330" max="2330" width="7.5" style="227" customWidth="1"/>
    <col min="2331" max="2331" width="6.375" style="227" customWidth="1"/>
    <col min="2332" max="2332" width="6.5" style="227" customWidth="1"/>
    <col min="2333" max="2333" width="6.375" style="227" customWidth="1"/>
    <col min="2334" max="2334" width="7.875" style="227" customWidth="1"/>
    <col min="2335" max="2335" width="7.75" style="227" customWidth="1"/>
    <col min="2336" max="2339" width="6.5" style="227" customWidth="1"/>
    <col min="2340" max="2340" width="6.875" style="227" customWidth="1"/>
    <col min="2341" max="2341" width="9" style="227"/>
    <col min="2342" max="2342" width="6.125" style="227" customWidth="1"/>
    <col min="2343" max="2343" width="7.5" style="227" customWidth="1"/>
    <col min="2344" max="2344" width="7.625" style="227" customWidth="1"/>
    <col min="2345" max="2345" width="7.75" style="227" customWidth="1"/>
    <col min="2346" max="2346" width="10.125" style="227" bestFit="1" customWidth="1"/>
    <col min="2347" max="2347" width="12" style="227" customWidth="1"/>
    <col min="2348" max="2348" width="10.25" style="227" bestFit="1" customWidth="1"/>
    <col min="2349" max="2349" width="8.75" style="227" bestFit="1" customWidth="1"/>
    <col min="2350" max="2350" width="7.75" style="227" customWidth="1"/>
    <col min="2351" max="2351" width="9.125" style="227" customWidth="1"/>
    <col min="2352" max="2352" width="9.875" style="227" customWidth="1"/>
    <col min="2353" max="2353" width="7.75" style="227" customWidth="1"/>
    <col min="2354" max="2354" width="9.375" style="227" customWidth="1"/>
    <col min="2355" max="2355" width="9" style="227"/>
    <col min="2356" max="2356" width="5.875" style="227" customWidth="1"/>
    <col min="2357" max="2357" width="7.125" style="227" customWidth="1"/>
    <col min="2358" max="2358" width="8.125" style="227" customWidth="1"/>
    <col min="2359" max="2359" width="10.25" style="227" customWidth="1"/>
    <col min="2360" max="2580" width="9" style="227"/>
    <col min="2581" max="2581" width="36.875" style="227" bestFit="1" customWidth="1"/>
    <col min="2582" max="2582" width="7.125" style="227" customWidth="1"/>
    <col min="2583" max="2583" width="6" style="227" customWidth="1"/>
    <col min="2584" max="2584" width="5.75" style="227" customWidth="1"/>
    <col min="2585" max="2585" width="10.5" style="227" customWidth="1"/>
    <col min="2586" max="2586" width="7.5" style="227" customWidth="1"/>
    <col min="2587" max="2587" width="6.375" style="227" customWidth="1"/>
    <col min="2588" max="2588" width="6.5" style="227" customWidth="1"/>
    <col min="2589" max="2589" width="6.375" style="227" customWidth="1"/>
    <col min="2590" max="2590" width="7.875" style="227" customWidth="1"/>
    <col min="2591" max="2591" width="7.75" style="227" customWidth="1"/>
    <col min="2592" max="2595" width="6.5" style="227" customWidth="1"/>
    <col min="2596" max="2596" width="6.875" style="227" customWidth="1"/>
    <col min="2597" max="2597" width="9" style="227"/>
    <col min="2598" max="2598" width="6.125" style="227" customWidth="1"/>
    <col min="2599" max="2599" width="7.5" style="227" customWidth="1"/>
    <col min="2600" max="2600" width="7.625" style="227" customWidth="1"/>
    <col min="2601" max="2601" width="7.75" style="227" customWidth="1"/>
    <col min="2602" max="2602" width="10.125" style="227" bestFit="1" customWidth="1"/>
    <col min="2603" max="2603" width="12" style="227" customWidth="1"/>
    <col min="2604" max="2604" width="10.25" style="227" bestFit="1" customWidth="1"/>
    <col min="2605" max="2605" width="8.75" style="227" bestFit="1" customWidth="1"/>
    <col min="2606" max="2606" width="7.75" style="227" customWidth="1"/>
    <col min="2607" max="2607" width="9.125" style="227" customWidth="1"/>
    <col min="2608" max="2608" width="9.875" style="227" customWidth="1"/>
    <col min="2609" max="2609" width="7.75" style="227" customWidth="1"/>
    <col min="2610" max="2610" width="9.375" style="227" customWidth="1"/>
    <col min="2611" max="2611" width="9" style="227"/>
    <col min="2612" max="2612" width="5.875" style="227" customWidth="1"/>
    <col min="2613" max="2613" width="7.125" style="227" customWidth="1"/>
    <col min="2614" max="2614" width="8.125" style="227" customWidth="1"/>
    <col min="2615" max="2615" width="10.25" style="227" customWidth="1"/>
    <col min="2616" max="2836" width="9" style="227"/>
    <col min="2837" max="2837" width="36.875" style="227" bestFit="1" customWidth="1"/>
    <col min="2838" max="2838" width="7.125" style="227" customWidth="1"/>
    <col min="2839" max="2839" width="6" style="227" customWidth="1"/>
    <col min="2840" max="2840" width="5.75" style="227" customWidth="1"/>
    <col min="2841" max="2841" width="10.5" style="227" customWidth="1"/>
    <col min="2842" max="2842" width="7.5" style="227" customWidth="1"/>
    <col min="2843" max="2843" width="6.375" style="227" customWidth="1"/>
    <col min="2844" max="2844" width="6.5" style="227" customWidth="1"/>
    <col min="2845" max="2845" width="6.375" style="227" customWidth="1"/>
    <col min="2846" max="2846" width="7.875" style="227" customWidth="1"/>
    <col min="2847" max="2847" width="7.75" style="227" customWidth="1"/>
    <col min="2848" max="2851" width="6.5" style="227" customWidth="1"/>
    <col min="2852" max="2852" width="6.875" style="227" customWidth="1"/>
    <col min="2853" max="2853" width="9" style="227"/>
    <col min="2854" max="2854" width="6.125" style="227" customWidth="1"/>
    <col min="2855" max="2855" width="7.5" style="227" customWidth="1"/>
    <col min="2856" max="2856" width="7.625" style="227" customWidth="1"/>
    <col min="2857" max="2857" width="7.75" style="227" customWidth="1"/>
    <col min="2858" max="2858" width="10.125" style="227" bestFit="1" customWidth="1"/>
    <col min="2859" max="2859" width="12" style="227" customWidth="1"/>
    <col min="2860" max="2860" width="10.25" style="227" bestFit="1" customWidth="1"/>
    <col min="2861" max="2861" width="8.75" style="227" bestFit="1" customWidth="1"/>
    <col min="2862" max="2862" width="7.75" style="227" customWidth="1"/>
    <col min="2863" max="2863" width="9.125" style="227" customWidth="1"/>
    <col min="2864" max="2864" width="9.875" style="227" customWidth="1"/>
    <col min="2865" max="2865" width="7.75" style="227" customWidth="1"/>
    <col min="2866" max="2866" width="9.375" style="227" customWidth="1"/>
    <col min="2867" max="2867" width="9" style="227"/>
    <col min="2868" max="2868" width="5.875" style="227" customWidth="1"/>
    <col min="2869" max="2869" width="7.125" style="227" customWidth="1"/>
    <col min="2870" max="2870" width="8.125" style="227" customWidth="1"/>
    <col min="2871" max="2871" width="10.25" style="227" customWidth="1"/>
    <col min="2872" max="3092" width="9" style="227"/>
    <col min="3093" max="3093" width="36.875" style="227" bestFit="1" customWidth="1"/>
    <col min="3094" max="3094" width="7.125" style="227" customWidth="1"/>
    <col min="3095" max="3095" width="6" style="227" customWidth="1"/>
    <col min="3096" max="3096" width="5.75" style="227" customWidth="1"/>
    <col min="3097" max="3097" width="10.5" style="227" customWidth="1"/>
    <col min="3098" max="3098" width="7.5" style="227" customWidth="1"/>
    <col min="3099" max="3099" width="6.375" style="227" customWidth="1"/>
    <col min="3100" max="3100" width="6.5" style="227" customWidth="1"/>
    <col min="3101" max="3101" width="6.375" style="227" customWidth="1"/>
    <col min="3102" max="3102" width="7.875" style="227" customWidth="1"/>
    <col min="3103" max="3103" width="7.75" style="227" customWidth="1"/>
    <col min="3104" max="3107" width="6.5" style="227" customWidth="1"/>
    <col min="3108" max="3108" width="6.875" style="227" customWidth="1"/>
    <col min="3109" max="3109" width="9" style="227"/>
    <col min="3110" max="3110" width="6.125" style="227" customWidth="1"/>
    <col min="3111" max="3111" width="7.5" style="227" customWidth="1"/>
    <col min="3112" max="3112" width="7.625" style="227" customWidth="1"/>
    <col min="3113" max="3113" width="7.75" style="227" customWidth="1"/>
    <col min="3114" max="3114" width="10.125" style="227" bestFit="1" customWidth="1"/>
    <col min="3115" max="3115" width="12" style="227" customWidth="1"/>
    <col min="3116" max="3116" width="10.25" style="227" bestFit="1" customWidth="1"/>
    <col min="3117" max="3117" width="8.75" style="227" bestFit="1" customWidth="1"/>
    <col min="3118" max="3118" width="7.75" style="227" customWidth="1"/>
    <col min="3119" max="3119" width="9.125" style="227" customWidth="1"/>
    <col min="3120" max="3120" width="9.875" style="227" customWidth="1"/>
    <col min="3121" max="3121" width="7.75" style="227" customWidth="1"/>
    <col min="3122" max="3122" width="9.375" style="227" customWidth="1"/>
    <col min="3123" max="3123" width="9" style="227"/>
    <col min="3124" max="3124" width="5.875" style="227" customWidth="1"/>
    <col min="3125" max="3125" width="7.125" style="227" customWidth="1"/>
    <col min="3126" max="3126" width="8.125" style="227" customWidth="1"/>
    <col min="3127" max="3127" width="10.25" style="227" customWidth="1"/>
    <col min="3128" max="3348" width="9" style="227"/>
    <col min="3349" max="3349" width="36.875" style="227" bestFit="1" customWidth="1"/>
    <col min="3350" max="3350" width="7.125" style="227" customWidth="1"/>
    <col min="3351" max="3351" width="6" style="227" customWidth="1"/>
    <col min="3352" max="3352" width="5.75" style="227" customWidth="1"/>
    <col min="3353" max="3353" width="10.5" style="227" customWidth="1"/>
    <col min="3354" max="3354" width="7.5" style="227" customWidth="1"/>
    <col min="3355" max="3355" width="6.375" style="227" customWidth="1"/>
    <col min="3356" max="3356" width="6.5" style="227" customWidth="1"/>
    <col min="3357" max="3357" width="6.375" style="227" customWidth="1"/>
    <col min="3358" max="3358" width="7.875" style="227" customWidth="1"/>
    <col min="3359" max="3359" width="7.75" style="227" customWidth="1"/>
    <col min="3360" max="3363" width="6.5" style="227" customWidth="1"/>
    <col min="3364" max="3364" width="6.875" style="227" customWidth="1"/>
    <col min="3365" max="3365" width="9" style="227"/>
    <col min="3366" max="3366" width="6.125" style="227" customWidth="1"/>
    <col min="3367" max="3367" width="7.5" style="227" customWidth="1"/>
    <col min="3368" max="3368" width="7.625" style="227" customWidth="1"/>
    <col min="3369" max="3369" width="7.75" style="227" customWidth="1"/>
    <col min="3370" max="3370" width="10.125" style="227" bestFit="1" customWidth="1"/>
    <col min="3371" max="3371" width="12" style="227" customWidth="1"/>
    <col min="3372" max="3372" width="10.25" style="227" bestFit="1" customWidth="1"/>
    <col min="3373" max="3373" width="8.75" style="227" bestFit="1" customWidth="1"/>
    <col min="3374" max="3374" width="7.75" style="227" customWidth="1"/>
    <col min="3375" max="3375" width="9.125" style="227" customWidth="1"/>
    <col min="3376" max="3376" width="9.875" style="227" customWidth="1"/>
    <col min="3377" max="3377" width="7.75" style="227" customWidth="1"/>
    <col min="3378" max="3378" width="9.375" style="227" customWidth="1"/>
    <col min="3379" max="3379" width="9" style="227"/>
    <col min="3380" max="3380" width="5.875" style="227" customWidth="1"/>
    <col min="3381" max="3381" width="7.125" style="227" customWidth="1"/>
    <col min="3382" max="3382" width="8.125" style="227" customWidth="1"/>
    <col min="3383" max="3383" width="10.25" style="227" customWidth="1"/>
    <col min="3384" max="3604" width="9" style="227"/>
    <col min="3605" max="3605" width="36.875" style="227" bestFit="1" customWidth="1"/>
    <col min="3606" max="3606" width="7.125" style="227" customWidth="1"/>
    <col min="3607" max="3607" width="6" style="227" customWidth="1"/>
    <col min="3608" max="3608" width="5.75" style="227" customWidth="1"/>
    <col min="3609" max="3609" width="10.5" style="227" customWidth="1"/>
    <col min="3610" max="3610" width="7.5" style="227" customWidth="1"/>
    <col min="3611" max="3611" width="6.375" style="227" customWidth="1"/>
    <col min="3612" max="3612" width="6.5" style="227" customWidth="1"/>
    <col min="3613" max="3613" width="6.375" style="227" customWidth="1"/>
    <col min="3614" max="3614" width="7.875" style="227" customWidth="1"/>
    <col min="3615" max="3615" width="7.75" style="227" customWidth="1"/>
    <col min="3616" max="3619" width="6.5" style="227" customWidth="1"/>
    <col min="3620" max="3620" width="6.875" style="227" customWidth="1"/>
    <col min="3621" max="3621" width="9" style="227"/>
    <col min="3622" max="3622" width="6.125" style="227" customWidth="1"/>
    <col min="3623" max="3623" width="7.5" style="227" customWidth="1"/>
    <col min="3624" max="3624" width="7.625" style="227" customWidth="1"/>
    <col min="3625" max="3625" width="7.75" style="227" customWidth="1"/>
    <col min="3626" max="3626" width="10.125" style="227" bestFit="1" customWidth="1"/>
    <col min="3627" max="3627" width="12" style="227" customWidth="1"/>
    <col min="3628" max="3628" width="10.25" style="227" bestFit="1" customWidth="1"/>
    <col min="3629" max="3629" width="8.75" style="227" bestFit="1" customWidth="1"/>
    <col min="3630" max="3630" width="7.75" style="227" customWidth="1"/>
    <col min="3631" max="3631" width="9.125" style="227" customWidth="1"/>
    <col min="3632" max="3632" width="9.875" style="227" customWidth="1"/>
    <col min="3633" max="3633" width="7.75" style="227" customWidth="1"/>
    <col min="3634" max="3634" width="9.375" style="227" customWidth="1"/>
    <col min="3635" max="3635" width="9" style="227"/>
    <col min="3636" max="3636" width="5.875" style="227" customWidth="1"/>
    <col min="3637" max="3637" width="7.125" style="227" customWidth="1"/>
    <col min="3638" max="3638" width="8.125" style="227" customWidth="1"/>
    <col min="3639" max="3639" width="10.25" style="227" customWidth="1"/>
    <col min="3640" max="3860" width="9" style="227"/>
    <col min="3861" max="3861" width="36.875" style="227" bestFit="1" customWidth="1"/>
    <col min="3862" max="3862" width="7.125" style="227" customWidth="1"/>
    <col min="3863" max="3863" width="6" style="227" customWidth="1"/>
    <col min="3864" max="3864" width="5.75" style="227" customWidth="1"/>
    <col min="3865" max="3865" width="10.5" style="227" customWidth="1"/>
    <col min="3866" max="3866" width="7.5" style="227" customWidth="1"/>
    <col min="3867" max="3867" width="6.375" style="227" customWidth="1"/>
    <col min="3868" max="3868" width="6.5" style="227" customWidth="1"/>
    <col min="3869" max="3869" width="6.375" style="227" customWidth="1"/>
    <col min="3870" max="3870" width="7.875" style="227" customWidth="1"/>
    <col min="3871" max="3871" width="7.75" style="227" customWidth="1"/>
    <col min="3872" max="3875" width="6.5" style="227" customWidth="1"/>
    <col min="3876" max="3876" width="6.875" style="227" customWidth="1"/>
    <col min="3877" max="3877" width="9" style="227"/>
    <col min="3878" max="3878" width="6.125" style="227" customWidth="1"/>
    <col min="3879" max="3879" width="7.5" style="227" customWidth="1"/>
    <col min="3880" max="3880" width="7.625" style="227" customWidth="1"/>
    <col min="3881" max="3881" width="7.75" style="227" customWidth="1"/>
    <col min="3882" max="3882" width="10.125" style="227" bestFit="1" customWidth="1"/>
    <col min="3883" max="3883" width="12" style="227" customWidth="1"/>
    <col min="3884" max="3884" width="10.25" style="227" bestFit="1" customWidth="1"/>
    <col min="3885" max="3885" width="8.75" style="227" bestFit="1" customWidth="1"/>
    <col min="3886" max="3886" width="7.75" style="227" customWidth="1"/>
    <col min="3887" max="3887" width="9.125" style="227" customWidth="1"/>
    <col min="3888" max="3888" width="9.875" style="227" customWidth="1"/>
    <col min="3889" max="3889" width="7.75" style="227" customWidth="1"/>
    <col min="3890" max="3890" width="9.375" style="227" customWidth="1"/>
    <col min="3891" max="3891" width="9" style="227"/>
    <col min="3892" max="3892" width="5.875" style="227" customWidth="1"/>
    <col min="3893" max="3893" width="7.125" style="227" customWidth="1"/>
    <col min="3894" max="3894" width="8.125" style="227" customWidth="1"/>
    <col min="3895" max="3895" width="10.25" style="227" customWidth="1"/>
    <col min="3896" max="4116" width="9" style="227"/>
    <col min="4117" max="4117" width="36.875" style="227" bestFit="1" customWidth="1"/>
    <col min="4118" max="4118" width="7.125" style="227" customWidth="1"/>
    <col min="4119" max="4119" width="6" style="227" customWidth="1"/>
    <col min="4120" max="4120" width="5.75" style="227" customWidth="1"/>
    <col min="4121" max="4121" width="10.5" style="227" customWidth="1"/>
    <col min="4122" max="4122" width="7.5" style="227" customWidth="1"/>
    <col min="4123" max="4123" width="6.375" style="227" customWidth="1"/>
    <col min="4124" max="4124" width="6.5" style="227" customWidth="1"/>
    <col min="4125" max="4125" width="6.375" style="227" customWidth="1"/>
    <col min="4126" max="4126" width="7.875" style="227" customWidth="1"/>
    <col min="4127" max="4127" width="7.75" style="227" customWidth="1"/>
    <col min="4128" max="4131" width="6.5" style="227" customWidth="1"/>
    <col min="4132" max="4132" width="6.875" style="227" customWidth="1"/>
    <col min="4133" max="4133" width="9" style="227"/>
    <col min="4134" max="4134" width="6.125" style="227" customWidth="1"/>
    <col min="4135" max="4135" width="7.5" style="227" customWidth="1"/>
    <col min="4136" max="4136" width="7.625" style="227" customWidth="1"/>
    <col min="4137" max="4137" width="7.75" style="227" customWidth="1"/>
    <col min="4138" max="4138" width="10.125" style="227" bestFit="1" customWidth="1"/>
    <col min="4139" max="4139" width="12" style="227" customWidth="1"/>
    <col min="4140" max="4140" width="10.25" style="227" bestFit="1" customWidth="1"/>
    <col min="4141" max="4141" width="8.75" style="227" bestFit="1" customWidth="1"/>
    <col min="4142" max="4142" width="7.75" style="227" customWidth="1"/>
    <col min="4143" max="4143" width="9.125" style="227" customWidth="1"/>
    <col min="4144" max="4144" width="9.875" style="227" customWidth="1"/>
    <col min="4145" max="4145" width="7.75" style="227" customWidth="1"/>
    <col min="4146" max="4146" width="9.375" style="227" customWidth="1"/>
    <col min="4147" max="4147" width="9" style="227"/>
    <col min="4148" max="4148" width="5.875" style="227" customWidth="1"/>
    <col min="4149" max="4149" width="7.125" style="227" customWidth="1"/>
    <col min="4150" max="4150" width="8.125" style="227" customWidth="1"/>
    <col min="4151" max="4151" width="10.25" style="227" customWidth="1"/>
    <col min="4152" max="4372" width="9" style="227"/>
    <col min="4373" max="4373" width="36.875" style="227" bestFit="1" customWidth="1"/>
    <col min="4374" max="4374" width="7.125" style="227" customWidth="1"/>
    <col min="4375" max="4375" width="6" style="227" customWidth="1"/>
    <col min="4376" max="4376" width="5.75" style="227" customWidth="1"/>
    <col min="4377" max="4377" width="10.5" style="227" customWidth="1"/>
    <col min="4378" max="4378" width="7.5" style="227" customWidth="1"/>
    <col min="4379" max="4379" width="6.375" style="227" customWidth="1"/>
    <col min="4380" max="4380" width="6.5" style="227" customWidth="1"/>
    <col min="4381" max="4381" width="6.375" style="227" customWidth="1"/>
    <col min="4382" max="4382" width="7.875" style="227" customWidth="1"/>
    <col min="4383" max="4383" width="7.75" style="227" customWidth="1"/>
    <col min="4384" max="4387" width="6.5" style="227" customWidth="1"/>
    <col min="4388" max="4388" width="6.875" style="227" customWidth="1"/>
    <col min="4389" max="4389" width="9" style="227"/>
    <col min="4390" max="4390" width="6.125" style="227" customWidth="1"/>
    <col min="4391" max="4391" width="7.5" style="227" customWidth="1"/>
    <col min="4392" max="4392" width="7.625" style="227" customWidth="1"/>
    <col min="4393" max="4393" width="7.75" style="227" customWidth="1"/>
    <col min="4394" max="4394" width="10.125" style="227" bestFit="1" customWidth="1"/>
    <col min="4395" max="4395" width="12" style="227" customWidth="1"/>
    <col min="4396" max="4396" width="10.25" style="227" bestFit="1" customWidth="1"/>
    <col min="4397" max="4397" width="8.75" style="227" bestFit="1" customWidth="1"/>
    <col min="4398" max="4398" width="7.75" style="227" customWidth="1"/>
    <col min="4399" max="4399" width="9.125" style="227" customWidth="1"/>
    <col min="4400" max="4400" width="9.875" style="227" customWidth="1"/>
    <col min="4401" max="4401" width="7.75" style="227" customWidth="1"/>
    <col min="4402" max="4402" width="9.375" style="227" customWidth="1"/>
    <col min="4403" max="4403" width="9" style="227"/>
    <col min="4404" max="4404" width="5.875" style="227" customWidth="1"/>
    <col min="4405" max="4405" width="7.125" style="227" customWidth="1"/>
    <col min="4406" max="4406" width="8.125" style="227" customWidth="1"/>
    <col min="4407" max="4407" width="10.25" style="227" customWidth="1"/>
    <col min="4408" max="4628" width="9" style="227"/>
    <col min="4629" max="4629" width="36.875" style="227" bestFit="1" customWidth="1"/>
    <col min="4630" max="4630" width="7.125" style="227" customWidth="1"/>
    <col min="4631" max="4631" width="6" style="227" customWidth="1"/>
    <col min="4632" max="4632" width="5.75" style="227" customWidth="1"/>
    <col min="4633" max="4633" width="10.5" style="227" customWidth="1"/>
    <col min="4634" max="4634" width="7.5" style="227" customWidth="1"/>
    <col min="4635" max="4635" width="6.375" style="227" customWidth="1"/>
    <col min="4636" max="4636" width="6.5" style="227" customWidth="1"/>
    <col min="4637" max="4637" width="6.375" style="227" customWidth="1"/>
    <col min="4638" max="4638" width="7.875" style="227" customWidth="1"/>
    <col min="4639" max="4639" width="7.75" style="227" customWidth="1"/>
    <col min="4640" max="4643" width="6.5" style="227" customWidth="1"/>
    <col min="4644" max="4644" width="6.875" style="227" customWidth="1"/>
    <col min="4645" max="4645" width="9" style="227"/>
    <col min="4646" max="4646" width="6.125" style="227" customWidth="1"/>
    <col min="4647" max="4647" width="7.5" style="227" customWidth="1"/>
    <col min="4648" max="4648" width="7.625" style="227" customWidth="1"/>
    <col min="4649" max="4649" width="7.75" style="227" customWidth="1"/>
    <col min="4650" max="4650" width="10.125" style="227" bestFit="1" customWidth="1"/>
    <col min="4651" max="4651" width="12" style="227" customWidth="1"/>
    <col min="4652" max="4652" width="10.25" style="227" bestFit="1" customWidth="1"/>
    <col min="4653" max="4653" width="8.75" style="227" bestFit="1" customWidth="1"/>
    <col min="4654" max="4654" width="7.75" style="227" customWidth="1"/>
    <col min="4655" max="4655" width="9.125" style="227" customWidth="1"/>
    <col min="4656" max="4656" width="9.875" style="227" customWidth="1"/>
    <col min="4657" max="4657" width="7.75" style="227" customWidth="1"/>
    <col min="4658" max="4658" width="9.375" style="227" customWidth="1"/>
    <col min="4659" max="4659" width="9" style="227"/>
    <col min="4660" max="4660" width="5.875" style="227" customWidth="1"/>
    <col min="4661" max="4661" width="7.125" style="227" customWidth="1"/>
    <col min="4662" max="4662" width="8.125" style="227" customWidth="1"/>
    <col min="4663" max="4663" width="10.25" style="227" customWidth="1"/>
    <col min="4664" max="4884" width="9" style="227"/>
    <col min="4885" max="4885" width="36.875" style="227" bestFit="1" customWidth="1"/>
    <col min="4886" max="4886" width="7.125" style="227" customWidth="1"/>
    <col min="4887" max="4887" width="6" style="227" customWidth="1"/>
    <col min="4888" max="4888" width="5.75" style="227" customWidth="1"/>
    <col min="4889" max="4889" width="10.5" style="227" customWidth="1"/>
    <col min="4890" max="4890" width="7.5" style="227" customWidth="1"/>
    <col min="4891" max="4891" width="6.375" style="227" customWidth="1"/>
    <col min="4892" max="4892" width="6.5" style="227" customWidth="1"/>
    <col min="4893" max="4893" width="6.375" style="227" customWidth="1"/>
    <col min="4894" max="4894" width="7.875" style="227" customWidth="1"/>
    <col min="4895" max="4895" width="7.75" style="227" customWidth="1"/>
    <col min="4896" max="4899" width="6.5" style="227" customWidth="1"/>
    <col min="4900" max="4900" width="6.875" style="227" customWidth="1"/>
    <col min="4901" max="4901" width="9" style="227"/>
    <col min="4902" max="4902" width="6.125" style="227" customWidth="1"/>
    <col min="4903" max="4903" width="7.5" style="227" customWidth="1"/>
    <col min="4904" max="4904" width="7.625" style="227" customWidth="1"/>
    <col min="4905" max="4905" width="7.75" style="227" customWidth="1"/>
    <col min="4906" max="4906" width="10.125" style="227" bestFit="1" customWidth="1"/>
    <col min="4907" max="4907" width="12" style="227" customWidth="1"/>
    <col min="4908" max="4908" width="10.25" style="227" bestFit="1" customWidth="1"/>
    <col min="4909" max="4909" width="8.75" style="227" bestFit="1" customWidth="1"/>
    <col min="4910" max="4910" width="7.75" style="227" customWidth="1"/>
    <col min="4911" max="4911" width="9.125" style="227" customWidth="1"/>
    <col min="4912" max="4912" width="9.875" style="227" customWidth="1"/>
    <col min="4913" max="4913" width="7.75" style="227" customWidth="1"/>
    <col min="4914" max="4914" width="9.375" style="227" customWidth="1"/>
    <col min="4915" max="4915" width="9" style="227"/>
    <col min="4916" max="4916" width="5.875" style="227" customWidth="1"/>
    <col min="4917" max="4917" width="7.125" style="227" customWidth="1"/>
    <col min="4918" max="4918" width="8.125" style="227" customWidth="1"/>
    <col min="4919" max="4919" width="10.25" style="227" customWidth="1"/>
    <col min="4920" max="5140" width="9" style="227"/>
    <col min="5141" max="5141" width="36.875" style="227" bestFit="1" customWidth="1"/>
    <col min="5142" max="5142" width="7.125" style="227" customWidth="1"/>
    <col min="5143" max="5143" width="6" style="227" customWidth="1"/>
    <col min="5144" max="5144" width="5.75" style="227" customWidth="1"/>
    <col min="5145" max="5145" width="10.5" style="227" customWidth="1"/>
    <col min="5146" max="5146" width="7.5" style="227" customWidth="1"/>
    <col min="5147" max="5147" width="6.375" style="227" customWidth="1"/>
    <col min="5148" max="5148" width="6.5" style="227" customWidth="1"/>
    <col min="5149" max="5149" width="6.375" style="227" customWidth="1"/>
    <col min="5150" max="5150" width="7.875" style="227" customWidth="1"/>
    <col min="5151" max="5151" width="7.75" style="227" customWidth="1"/>
    <col min="5152" max="5155" width="6.5" style="227" customWidth="1"/>
    <col min="5156" max="5156" width="6.875" style="227" customWidth="1"/>
    <col min="5157" max="5157" width="9" style="227"/>
    <col min="5158" max="5158" width="6.125" style="227" customWidth="1"/>
    <col min="5159" max="5159" width="7.5" style="227" customWidth="1"/>
    <col min="5160" max="5160" width="7.625" style="227" customWidth="1"/>
    <col min="5161" max="5161" width="7.75" style="227" customWidth="1"/>
    <col min="5162" max="5162" width="10.125" style="227" bestFit="1" customWidth="1"/>
    <col min="5163" max="5163" width="12" style="227" customWidth="1"/>
    <col min="5164" max="5164" width="10.25" style="227" bestFit="1" customWidth="1"/>
    <col min="5165" max="5165" width="8.75" style="227" bestFit="1" customWidth="1"/>
    <col min="5166" max="5166" width="7.75" style="227" customWidth="1"/>
    <col min="5167" max="5167" width="9.125" style="227" customWidth="1"/>
    <col min="5168" max="5168" width="9.875" style="227" customWidth="1"/>
    <col min="5169" max="5169" width="7.75" style="227" customWidth="1"/>
    <col min="5170" max="5170" width="9.375" style="227" customWidth="1"/>
    <col min="5171" max="5171" width="9" style="227"/>
    <col min="5172" max="5172" width="5.875" style="227" customWidth="1"/>
    <col min="5173" max="5173" width="7.125" style="227" customWidth="1"/>
    <col min="5174" max="5174" width="8.125" style="227" customWidth="1"/>
    <col min="5175" max="5175" width="10.25" style="227" customWidth="1"/>
    <col min="5176" max="5396" width="9" style="227"/>
    <col min="5397" max="5397" width="36.875" style="227" bestFit="1" customWidth="1"/>
    <col min="5398" max="5398" width="7.125" style="227" customWidth="1"/>
    <col min="5399" max="5399" width="6" style="227" customWidth="1"/>
    <col min="5400" max="5400" width="5.75" style="227" customWidth="1"/>
    <col min="5401" max="5401" width="10.5" style="227" customWidth="1"/>
    <col min="5402" max="5402" width="7.5" style="227" customWidth="1"/>
    <col min="5403" max="5403" width="6.375" style="227" customWidth="1"/>
    <col min="5404" max="5404" width="6.5" style="227" customWidth="1"/>
    <col min="5405" max="5405" width="6.375" style="227" customWidth="1"/>
    <col min="5406" max="5406" width="7.875" style="227" customWidth="1"/>
    <col min="5407" max="5407" width="7.75" style="227" customWidth="1"/>
    <col min="5408" max="5411" width="6.5" style="227" customWidth="1"/>
    <col min="5412" max="5412" width="6.875" style="227" customWidth="1"/>
    <col min="5413" max="5413" width="9" style="227"/>
    <col min="5414" max="5414" width="6.125" style="227" customWidth="1"/>
    <col min="5415" max="5415" width="7.5" style="227" customWidth="1"/>
    <col min="5416" max="5416" width="7.625" style="227" customWidth="1"/>
    <col min="5417" max="5417" width="7.75" style="227" customWidth="1"/>
    <col min="5418" max="5418" width="10.125" style="227" bestFit="1" customWidth="1"/>
    <col min="5419" max="5419" width="12" style="227" customWidth="1"/>
    <col min="5420" max="5420" width="10.25" style="227" bestFit="1" customWidth="1"/>
    <col min="5421" max="5421" width="8.75" style="227" bestFit="1" customWidth="1"/>
    <col min="5422" max="5422" width="7.75" style="227" customWidth="1"/>
    <col min="5423" max="5423" width="9.125" style="227" customWidth="1"/>
    <col min="5424" max="5424" width="9.875" style="227" customWidth="1"/>
    <col min="5425" max="5425" width="7.75" style="227" customWidth="1"/>
    <col min="5426" max="5426" width="9.375" style="227" customWidth="1"/>
    <col min="5427" max="5427" width="9" style="227"/>
    <col min="5428" max="5428" width="5.875" style="227" customWidth="1"/>
    <col min="5429" max="5429" width="7.125" style="227" customWidth="1"/>
    <col min="5430" max="5430" width="8.125" style="227" customWidth="1"/>
    <col min="5431" max="5431" width="10.25" style="227" customWidth="1"/>
    <col min="5432" max="5652" width="9" style="227"/>
    <col min="5653" max="5653" width="36.875" style="227" bestFit="1" customWidth="1"/>
    <col min="5654" max="5654" width="7.125" style="227" customWidth="1"/>
    <col min="5655" max="5655" width="6" style="227" customWidth="1"/>
    <col min="5656" max="5656" width="5.75" style="227" customWidth="1"/>
    <col min="5657" max="5657" width="10.5" style="227" customWidth="1"/>
    <col min="5658" max="5658" width="7.5" style="227" customWidth="1"/>
    <col min="5659" max="5659" width="6.375" style="227" customWidth="1"/>
    <col min="5660" max="5660" width="6.5" style="227" customWidth="1"/>
    <col min="5661" max="5661" width="6.375" style="227" customWidth="1"/>
    <col min="5662" max="5662" width="7.875" style="227" customWidth="1"/>
    <col min="5663" max="5663" width="7.75" style="227" customWidth="1"/>
    <col min="5664" max="5667" width="6.5" style="227" customWidth="1"/>
    <col min="5668" max="5668" width="6.875" style="227" customWidth="1"/>
    <col min="5669" max="5669" width="9" style="227"/>
    <col min="5670" max="5670" width="6.125" style="227" customWidth="1"/>
    <col min="5671" max="5671" width="7.5" style="227" customWidth="1"/>
    <col min="5672" max="5672" width="7.625" style="227" customWidth="1"/>
    <col min="5673" max="5673" width="7.75" style="227" customWidth="1"/>
    <col min="5674" max="5674" width="10.125" style="227" bestFit="1" customWidth="1"/>
    <col min="5675" max="5675" width="12" style="227" customWidth="1"/>
    <col min="5676" max="5676" width="10.25" style="227" bestFit="1" customWidth="1"/>
    <col min="5677" max="5677" width="8.75" style="227" bestFit="1" customWidth="1"/>
    <col min="5678" max="5678" width="7.75" style="227" customWidth="1"/>
    <col min="5679" max="5679" width="9.125" style="227" customWidth="1"/>
    <col min="5680" max="5680" width="9.875" style="227" customWidth="1"/>
    <col min="5681" max="5681" width="7.75" style="227" customWidth="1"/>
    <col min="5682" max="5682" width="9.375" style="227" customWidth="1"/>
    <col min="5683" max="5683" width="9" style="227"/>
    <col min="5684" max="5684" width="5.875" style="227" customWidth="1"/>
    <col min="5685" max="5685" width="7.125" style="227" customWidth="1"/>
    <col min="5686" max="5686" width="8.125" style="227" customWidth="1"/>
    <col min="5687" max="5687" width="10.25" style="227" customWidth="1"/>
    <col min="5688" max="5908" width="9" style="227"/>
    <col min="5909" max="5909" width="36.875" style="227" bestFit="1" customWidth="1"/>
    <col min="5910" max="5910" width="7.125" style="227" customWidth="1"/>
    <col min="5911" max="5911" width="6" style="227" customWidth="1"/>
    <col min="5912" max="5912" width="5.75" style="227" customWidth="1"/>
    <col min="5913" max="5913" width="10.5" style="227" customWidth="1"/>
    <col min="5914" max="5914" width="7.5" style="227" customWidth="1"/>
    <col min="5915" max="5915" width="6.375" style="227" customWidth="1"/>
    <col min="5916" max="5916" width="6.5" style="227" customWidth="1"/>
    <col min="5917" max="5917" width="6.375" style="227" customWidth="1"/>
    <col min="5918" max="5918" width="7.875" style="227" customWidth="1"/>
    <col min="5919" max="5919" width="7.75" style="227" customWidth="1"/>
    <col min="5920" max="5923" width="6.5" style="227" customWidth="1"/>
    <col min="5924" max="5924" width="6.875" style="227" customWidth="1"/>
    <col min="5925" max="5925" width="9" style="227"/>
    <col min="5926" max="5926" width="6.125" style="227" customWidth="1"/>
    <col min="5927" max="5927" width="7.5" style="227" customWidth="1"/>
    <col min="5928" max="5928" width="7.625" style="227" customWidth="1"/>
    <col min="5929" max="5929" width="7.75" style="227" customWidth="1"/>
    <col min="5930" max="5930" width="10.125" style="227" bestFit="1" customWidth="1"/>
    <col min="5931" max="5931" width="12" style="227" customWidth="1"/>
    <col min="5932" max="5932" width="10.25" style="227" bestFit="1" customWidth="1"/>
    <col min="5933" max="5933" width="8.75" style="227" bestFit="1" customWidth="1"/>
    <col min="5934" max="5934" width="7.75" style="227" customWidth="1"/>
    <col min="5935" max="5935" width="9.125" style="227" customWidth="1"/>
    <col min="5936" max="5936" width="9.875" style="227" customWidth="1"/>
    <col min="5937" max="5937" width="7.75" style="227" customWidth="1"/>
    <col min="5938" max="5938" width="9.375" style="227" customWidth="1"/>
    <col min="5939" max="5939" width="9" style="227"/>
    <col min="5940" max="5940" width="5.875" style="227" customWidth="1"/>
    <col min="5941" max="5941" width="7.125" style="227" customWidth="1"/>
    <col min="5942" max="5942" width="8.125" style="227" customWidth="1"/>
    <col min="5943" max="5943" width="10.25" style="227" customWidth="1"/>
    <col min="5944" max="6164" width="9" style="227"/>
    <col min="6165" max="6165" width="36.875" style="227" bestFit="1" customWidth="1"/>
    <col min="6166" max="6166" width="7.125" style="227" customWidth="1"/>
    <col min="6167" max="6167" width="6" style="227" customWidth="1"/>
    <col min="6168" max="6168" width="5.75" style="227" customWidth="1"/>
    <col min="6169" max="6169" width="10.5" style="227" customWidth="1"/>
    <col min="6170" max="6170" width="7.5" style="227" customWidth="1"/>
    <col min="6171" max="6171" width="6.375" style="227" customWidth="1"/>
    <col min="6172" max="6172" width="6.5" style="227" customWidth="1"/>
    <col min="6173" max="6173" width="6.375" style="227" customWidth="1"/>
    <col min="6174" max="6174" width="7.875" style="227" customWidth="1"/>
    <col min="6175" max="6175" width="7.75" style="227" customWidth="1"/>
    <col min="6176" max="6179" width="6.5" style="227" customWidth="1"/>
    <col min="6180" max="6180" width="6.875" style="227" customWidth="1"/>
    <col min="6181" max="6181" width="9" style="227"/>
    <col min="6182" max="6182" width="6.125" style="227" customWidth="1"/>
    <col min="6183" max="6183" width="7.5" style="227" customWidth="1"/>
    <col min="6184" max="6184" width="7.625" style="227" customWidth="1"/>
    <col min="6185" max="6185" width="7.75" style="227" customWidth="1"/>
    <col min="6186" max="6186" width="10.125" style="227" bestFit="1" customWidth="1"/>
    <col min="6187" max="6187" width="12" style="227" customWidth="1"/>
    <col min="6188" max="6188" width="10.25" style="227" bestFit="1" customWidth="1"/>
    <col min="6189" max="6189" width="8.75" style="227" bestFit="1" customWidth="1"/>
    <col min="6190" max="6190" width="7.75" style="227" customWidth="1"/>
    <col min="6191" max="6191" width="9.125" style="227" customWidth="1"/>
    <col min="6192" max="6192" width="9.875" style="227" customWidth="1"/>
    <col min="6193" max="6193" width="7.75" style="227" customWidth="1"/>
    <col min="6194" max="6194" width="9.375" style="227" customWidth="1"/>
    <col min="6195" max="6195" width="9" style="227"/>
    <col min="6196" max="6196" width="5.875" style="227" customWidth="1"/>
    <col min="6197" max="6197" width="7.125" style="227" customWidth="1"/>
    <col min="6198" max="6198" width="8.125" style="227" customWidth="1"/>
    <col min="6199" max="6199" width="10.25" style="227" customWidth="1"/>
    <col min="6200" max="6420" width="9" style="227"/>
    <col min="6421" max="6421" width="36.875" style="227" bestFit="1" customWidth="1"/>
    <col min="6422" max="6422" width="7.125" style="227" customWidth="1"/>
    <col min="6423" max="6423" width="6" style="227" customWidth="1"/>
    <col min="6424" max="6424" width="5.75" style="227" customWidth="1"/>
    <col min="6425" max="6425" width="10.5" style="227" customWidth="1"/>
    <col min="6426" max="6426" width="7.5" style="227" customWidth="1"/>
    <col min="6427" max="6427" width="6.375" style="227" customWidth="1"/>
    <col min="6428" max="6428" width="6.5" style="227" customWidth="1"/>
    <col min="6429" max="6429" width="6.375" style="227" customWidth="1"/>
    <col min="6430" max="6430" width="7.875" style="227" customWidth="1"/>
    <col min="6431" max="6431" width="7.75" style="227" customWidth="1"/>
    <col min="6432" max="6435" width="6.5" style="227" customWidth="1"/>
    <col min="6436" max="6436" width="6.875" style="227" customWidth="1"/>
    <col min="6437" max="6437" width="9" style="227"/>
    <col min="6438" max="6438" width="6.125" style="227" customWidth="1"/>
    <col min="6439" max="6439" width="7.5" style="227" customWidth="1"/>
    <col min="6440" max="6440" width="7.625" style="227" customWidth="1"/>
    <col min="6441" max="6441" width="7.75" style="227" customWidth="1"/>
    <col min="6442" max="6442" width="10.125" style="227" bestFit="1" customWidth="1"/>
    <col min="6443" max="6443" width="12" style="227" customWidth="1"/>
    <col min="6444" max="6444" width="10.25" style="227" bestFit="1" customWidth="1"/>
    <col min="6445" max="6445" width="8.75" style="227" bestFit="1" customWidth="1"/>
    <col min="6446" max="6446" width="7.75" style="227" customWidth="1"/>
    <col min="6447" max="6447" width="9.125" style="227" customWidth="1"/>
    <col min="6448" max="6448" width="9.875" style="227" customWidth="1"/>
    <col min="6449" max="6449" width="7.75" style="227" customWidth="1"/>
    <col min="6450" max="6450" width="9.375" style="227" customWidth="1"/>
    <col min="6451" max="6451" width="9" style="227"/>
    <col min="6452" max="6452" width="5.875" style="227" customWidth="1"/>
    <col min="6453" max="6453" width="7.125" style="227" customWidth="1"/>
    <col min="6454" max="6454" width="8.125" style="227" customWidth="1"/>
    <col min="6455" max="6455" width="10.25" style="227" customWidth="1"/>
    <col min="6456" max="6676" width="9" style="227"/>
    <col min="6677" max="6677" width="36.875" style="227" bestFit="1" customWidth="1"/>
    <col min="6678" max="6678" width="7.125" style="227" customWidth="1"/>
    <col min="6679" max="6679" width="6" style="227" customWidth="1"/>
    <col min="6680" max="6680" width="5.75" style="227" customWidth="1"/>
    <col min="6681" max="6681" width="10.5" style="227" customWidth="1"/>
    <col min="6682" max="6682" width="7.5" style="227" customWidth="1"/>
    <col min="6683" max="6683" width="6.375" style="227" customWidth="1"/>
    <col min="6684" max="6684" width="6.5" style="227" customWidth="1"/>
    <col min="6685" max="6685" width="6.375" style="227" customWidth="1"/>
    <col min="6686" max="6686" width="7.875" style="227" customWidth="1"/>
    <col min="6687" max="6687" width="7.75" style="227" customWidth="1"/>
    <col min="6688" max="6691" width="6.5" style="227" customWidth="1"/>
    <col min="6692" max="6692" width="6.875" style="227" customWidth="1"/>
    <col min="6693" max="6693" width="9" style="227"/>
    <col min="6694" max="6694" width="6.125" style="227" customWidth="1"/>
    <col min="6695" max="6695" width="7.5" style="227" customWidth="1"/>
    <col min="6696" max="6696" width="7.625" style="227" customWidth="1"/>
    <col min="6697" max="6697" width="7.75" style="227" customWidth="1"/>
    <col min="6698" max="6698" width="10.125" style="227" bestFit="1" customWidth="1"/>
    <col min="6699" max="6699" width="12" style="227" customWidth="1"/>
    <col min="6700" max="6700" width="10.25" style="227" bestFit="1" customWidth="1"/>
    <col min="6701" max="6701" width="8.75" style="227" bestFit="1" customWidth="1"/>
    <col min="6702" max="6702" width="7.75" style="227" customWidth="1"/>
    <col min="6703" max="6703" width="9.125" style="227" customWidth="1"/>
    <col min="6704" max="6704" width="9.875" style="227" customWidth="1"/>
    <col min="6705" max="6705" width="7.75" style="227" customWidth="1"/>
    <col min="6706" max="6706" width="9.375" style="227" customWidth="1"/>
    <col min="6707" max="6707" width="9" style="227"/>
    <col min="6708" max="6708" width="5.875" style="227" customWidth="1"/>
    <col min="6709" max="6709" width="7.125" style="227" customWidth="1"/>
    <col min="6710" max="6710" width="8.125" style="227" customWidth="1"/>
    <col min="6711" max="6711" width="10.25" style="227" customWidth="1"/>
    <col min="6712" max="6932" width="9" style="227"/>
    <col min="6933" max="6933" width="36.875" style="227" bestFit="1" customWidth="1"/>
    <col min="6934" max="6934" width="7.125" style="227" customWidth="1"/>
    <col min="6935" max="6935" width="6" style="227" customWidth="1"/>
    <col min="6936" max="6936" width="5.75" style="227" customWidth="1"/>
    <col min="6937" max="6937" width="10.5" style="227" customWidth="1"/>
    <col min="6938" max="6938" width="7.5" style="227" customWidth="1"/>
    <col min="6939" max="6939" width="6.375" style="227" customWidth="1"/>
    <col min="6940" max="6940" width="6.5" style="227" customWidth="1"/>
    <col min="6941" max="6941" width="6.375" style="227" customWidth="1"/>
    <col min="6942" max="6942" width="7.875" style="227" customWidth="1"/>
    <col min="6943" max="6943" width="7.75" style="227" customWidth="1"/>
    <col min="6944" max="6947" width="6.5" style="227" customWidth="1"/>
    <col min="6948" max="6948" width="6.875" style="227" customWidth="1"/>
    <col min="6949" max="6949" width="9" style="227"/>
    <col min="6950" max="6950" width="6.125" style="227" customWidth="1"/>
    <col min="6951" max="6951" width="7.5" style="227" customWidth="1"/>
    <col min="6952" max="6952" width="7.625" style="227" customWidth="1"/>
    <col min="6953" max="6953" width="7.75" style="227" customWidth="1"/>
    <col min="6954" max="6954" width="10.125" style="227" bestFit="1" customWidth="1"/>
    <col min="6955" max="6955" width="12" style="227" customWidth="1"/>
    <col min="6956" max="6956" width="10.25" style="227" bestFit="1" customWidth="1"/>
    <col min="6957" max="6957" width="8.75" style="227" bestFit="1" customWidth="1"/>
    <col min="6958" max="6958" width="7.75" style="227" customWidth="1"/>
    <col min="6959" max="6959" width="9.125" style="227" customWidth="1"/>
    <col min="6960" max="6960" width="9.875" style="227" customWidth="1"/>
    <col min="6961" max="6961" width="7.75" style="227" customWidth="1"/>
    <col min="6962" max="6962" width="9.375" style="227" customWidth="1"/>
    <col min="6963" max="6963" width="9" style="227"/>
    <col min="6964" max="6964" width="5.875" style="227" customWidth="1"/>
    <col min="6965" max="6965" width="7.125" style="227" customWidth="1"/>
    <col min="6966" max="6966" width="8.125" style="227" customWidth="1"/>
    <col min="6967" max="6967" width="10.25" style="227" customWidth="1"/>
    <col min="6968" max="7188" width="9" style="227"/>
    <col min="7189" max="7189" width="36.875" style="227" bestFit="1" customWidth="1"/>
    <col min="7190" max="7190" width="7.125" style="227" customWidth="1"/>
    <col min="7191" max="7191" width="6" style="227" customWidth="1"/>
    <col min="7192" max="7192" width="5.75" style="227" customWidth="1"/>
    <col min="7193" max="7193" width="10.5" style="227" customWidth="1"/>
    <col min="7194" max="7194" width="7.5" style="227" customWidth="1"/>
    <col min="7195" max="7195" width="6.375" style="227" customWidth="1"/>
    <col min="7196" max="7196" width="6.5" style="227" customWidth="1"/>
    <col min="7197" max="7197" width="6.375" style="227" customWidth="1"/>
    <col min="7198" max="7198" width="7.875" style="227" customWidth="1"/>
    <col min="7199" max="7199" width="7.75" style="227" customWidth="1"/>
    <col min="7200" max="7203" width="6.5" style="227" customWidth="1"/>
    <col min="7204" max="7204" width="6.875" style="227" customWidth="1"/>
    <col min="7205" max="7205" width="9" style="227"/>
    <col min="7206" max="7206" width="6.125" style="227" customWidth="1"/>
    <col min="7207" max="7207" width="7.5" style="227" customWidth="1"/>
    <col min="7208" max="7208" width="7.625" style="227" customWidth="1"/>
    <col min="7209" max="7209" width="7.75" style="227" customWidth="1"/>
    <col min="7210" max="7210" width="10.125" style="227" bestFit="1" customWidth="1"/>
    <col min="7211" max="7211" width="12" style="227" customWidth="1"/>
    <col min="7212" max="7212" width="10.25" style="227" bestFit="1" customWidth="1"/>
    <col min="7213" max="7213" width="8.75" style="227" bestFit="1" customWidth="1"/>
    <col min="7214" max="7214" width="7.75" style="227" customWidth="1"/>
    <col min="7215" max="7215" width="9.125" style="227" customWidth="1"/>
    <col min="7216" max="7216" width="9.875" style="227" customWidth="1"/>
    <col min="7217" max="7217" width="7.75" style="227" customWidth="1"/>
    <col min="7218" max="7218" width="9.375" style="227" customWidth="1"/>
    <col min="7219" max="7219" width="9" style="227"/>
    <col min="7220" max="7220" width="5.875" style="227" customWidth="1"/>
    <col min="7221" max="7221" width="7.125" style="227" customWidth="1"/>
    <col min="7222" max="7222" width="8.125" style="227" customWidth="1"/>
    <col min="7223" max="7223" width="10.25" style="227" customWidth="1"/>
    <col min="7224" max="7444" width="9" style="227"/>
    <col min="7445" max="7445" width="36.875" style="227" bestFit="1" customWidth="1"/>
    <col min="7446" max="7446" width="7.125" style="227" customWidth="1"/>
    <col min="7447" max="7447" width="6" style="227" customWidth="1"/>
    <col min="7448" max="7448" width="5.75" style="227" customWidth="1"/>
    <col min="7449" max="7449" width="10.5" style="227" customWidth="1"/>
    <col min="7450" max="7450" width="7.5" style="227" customWidth="1"/>
    <col min="7451" max="7451" width="6.375" style="227" customWidth="1"/>
    <col min="7452" max="7452" width="6.5" style="227" customWidth="1"/>
    <col min="7453" max="7453" width="6.375" style="227" customWidth="1"/>
    <col min="7454" max="7454" width="7.875" style="227" customWidth="1"/>
    <col min="7455" max="7455" width="7.75" style="227" customWidth="1"/>
    <col min="7456" max="7459" width="6.5" style="227" customWidth="1"/>
    <col min="7460" max="7460" width="6.875" style="227" customWidth="1"/>
    <col min="7461" max="7461" width="9" style="227"/>
    <col min="7462" max="7462" width="6.125" style="227" customWidth="1"/>
    <col min="7463" max="7463" width="7.5" style="227" customWidth="1"/>
    <col min="7464" max="7464" width="7.625" style="227" customWidth="1"/>
    <col min="7465" max="7465" width="7.75" style="227" customWidth="1"/>
    <col min="7466" max="7466" width="10.125" style="227" bestFit="1" customWidth="1"/>
    <col min="7467" max="7467" width="12" style="227" customWidth="1"/>
    <col min="7468" max="7468" width="10.25" style="227" bestFit="1" customWidth="1"/>
    <col min="7469" max="7469" width="8.75" style="227" bestFit="1" customWidth="1"/>
    <col min="7470" max="7470" width="7.75" style="227" customWidth="1"/>
    <col min="7471" max="7471" width="9.125" style="227" customWidth="1"/>
    <col min="7472" max="7472" width="9.875" style="227" customWidth="1"/>
    <col min="7473" max="7473" width="7.75" style="227" customWidth="1"/>
    <col min="7474" max="7474" width="9.375" style="227" customWidth="1"/>
    <col min="7475" max="7475" width="9" style="227"/>
    <col min="7476" max="7476" width="5.875" style="227" customWidth="1"/>
    <col min="7477" max="7477" width="7.125" style="227" customWidth="1"/>
    <col min="7478" max="7478" width="8.125" style="227" customWidth="1"/>
    <col min="7479" max="7479" width="10.25" style="227" customWidth="1"/>
    <col min="7480" max="7700" width="9" style="227"/>
    <col min="7701" max="7701" width="36.875" style="227" bestFit="1" customWidth="1"/>
    <col min="7702" max="7702" width="7.125" style="227" customWidth="1"/>
    <col min="7703" max="7703" width="6" style="227" customWidth="1"/>
    <col min="7704" max="7704" width="5.75" style="227" customWidth="1"/>
    <col min="7705" max="7705" width="10.5" style="227" customWidth="1"/>
    <col min="7706" max="7706" width="7.5" style="227" customWidth="1"/>
    <col min="7707" max="7707" width="6.375" style="227" customWidth="1"/>
    <col min="7708" max="7708" width="6.5" style="227" customWidth="1"/>
    <col min="7709" max="7709" width="6.375" style="227" customWidth="1"/>
    <col min="7710" max="7710" width="7.875" style="227" customWidth="1"/>
    <col min="7711" max="7711" width="7.75" style="227" customWidth="1"/>
    <col min="7712" max="7715" width="6.5" style="227" customWidth="1"/>
    <col min="7716" max="7716" width="6.875" style="227" customWidth="1"/>
    <col min="7717" max="7717" width="9" style="227"/>
    <col min="7718" max="7718" width="6.125" style="227" customWidth="1"/>
    <col min="7719" max="7719" width="7.5" style="227" customWidth="1"/>
    <col min="7720" max="7720" width="7.625" style="227" customWidth="1"/>
    <col min="7721" max="7721" width="7.75" style="227" customWidth="1"/>
    <col min="7722" max="7722" width="10.125" style="227" bestFit="1" customWidth="1"/>
    <col min="7723" max="7723" width="12" style="227" customWidth="1"/>
    <col min="7724" max="7724" width="10.25" style="227" bestFit="1" customWidth="1"/>
    <col min="7725" max="7725" width="8.75" style="227" bestFit="1" customWidth="1"/>
    <col min="7726" max="7726" width="7.75" style="227" customWidth="1"/>
    <col min="7727" max="7727" width="9.125" style="227" customWidth="1"/>
    <col min="7728" max="7728" width="9.875" style="227" customWidth="1"/>
    <col min="7729" max="7729" width="7.75" style="227" customWidth="1"/>
    <col min="7730" max="7730" width="9.375" style="227" customWidth="1"/>
    <col min="7731" max="7731" width="9" style="227"/>
    <col min="7732" max="7732" width="5.875" style="227" customWidth="1"/>
    <col min="7733" max="7733" width="7.125" style="227" customWidth="1"/>
    <col min="7734" max="7734" width="8.125" style="227" customWidth="1"/>
    <col min="7735" max="7735" width="10.25" style="227" customWidth="1"/>
    <col min="7736" max="7956" width="9" style="227"/>
    <col min="7957" max="7957" width="36.875" style="227" bestFit="1" customWidth="1"/>
    <col min="7958" max="7958" width="7.125" style="227" customWidth="1"/>
    <col min="7959" max="7959" width="6" style="227" customWidth="1"/>
    <col min="7960" max="7960" width="5.75" style="227" customWidth="1"/>
    <col min="7961" max="7961" width="10.5" style="227" customWidth="1"/>
    <col min="7962" max="7962" width="7.5" style="227" customWidth="1"/>
    <col min="7963" max="7963" width="6.375" style="227" customWidth="1"/>
    <col min="7964" max="7964" width="6.5" style="227" customWidth="1"/>
    <col min="7965" max="7965" width="6.375" style="227" customWidth="1"/>
    <col min="7966" max="7966" width="7.875" style="227" customWidth="1"/>
    <col min="7967" max="7967" width="7.75" style="227" customWidth="1"/>
    <col min="7968" max="7971" width="6.5" style="227" customWidth="1"/>
    <col min="7972" max="7972" width="6.875" style="227" customWidth="1"/>
    <col min="7973" max="7973" width="9" style="227"/>
    <col min="7974" max="7974" width="6.125" style="227" customWidth="1"/>
    <col min="7975" max="7975" width="7.5" style="227" customWidth="1"/>
    <col min="7976" max="7976" width="7.625" style="227" customWidth="1"/>
    <col min="7977" max="7977" width="7.75" style="227" customWidth="1"/>
    <col min="7978" max="7978" width="10.125" style="227" bestFit="1" customWidth="1"/>
    <col min="7979" max="7979" width="12" style="227" customWidth="1"/>
    <col min="7980" max="7980" width="10.25" style="227" bestFit="1" customWidth="1"/>
    <col min="7981" max="7981" width="8.75" style="227" bestFit="1" customWidth="1"/>
    <col min="7982" max="7982" width="7.75" style="227" customWidth="1"/>
    <col min="7983" max="7983" width="9.125" style="227" customWidth="1"/>
    <col min="7984" max="7984" width="9.875" style="227" customWidth="1"/>
    <col min="7985" max="7985" width="7.75" style="227" customWidth="1"/>
    <col min="7986" max="7986" width="9.375" style="227" customWidth="1"/>
    <col min="7987" max="7987" width="9" style="227"/>
    <col min="7988" max="7988" width="5.875" style="227" customWidth="1"/>
    <col min="7989" max="7989" width="7.125" style="227" customWidth="1"/>
    <col min="7990" max="7990" width="8.125" style="227" customWidth="1"/>
    <col min="7991" max="7991" width="10.25" style="227" customWidth="1"/>
    <col min="7992" max="8212" width="9" style="227"/>
    <col min="8213" max="8213" width="36.875" style="227" bestFit="1" customWidth="1"/>
    <col min="8214" max="8214" width="7.125" style="227" customWidth="1"/>
    <col min="8215" max="8215" width="6" style="227" customWidth="1"/>
    <col min="8216" max="8216" width="5.75" style="227" customWidth="1"/>
    <col min="8217" max="8217" width="10.5" style="227" customWidth="1"/>
    <col min="8218" max="8218" width="7.5" style="227" customWidth="1"/>
    <col min="8219" max="8219" width="6.375" style="227" customWidth="1"/>
    <col min="8220" max="8220" width="6.5" style="227" customWidth="1"/>
    <col min="8221" max="8221" width="6.375" style="227" customWidth="1"/>
    <col min="8222" max="8222" width="7.875" style="227" customWidth="1"/>
    <col min="8223" max="8223" width="7.75" style="227" customWidth="1"/>
    <col min="8224" max="8227" width="6.5" style="227" customWidth="1"/>
    <col min="8228" max="8228" width="6.875" style="227" customWidth="1"/>
    <col min="8229" max="8229" width="9" style="227"/>
    <col min="8230" max="8230" width="6.125" style="227" customWidth="1"/>
    <col min="8231" max="8231" width="7.5" style="227" customWidth="1"/>
    <col min="8232" max="8232" width="7.625" style="227" customWidth="1"/>
    <col min="8233" max="8233" width="7.75" style="227" customWidth="1"/>
    <col min="8234" max="8234" width="10.125" style="227" bestFit="1" customWidth="1"/>
    <col min="8235" max="8235" width="12" style="227" customWidth="1"/>
    <col min="8236" max="8236" width="10.25" style="227" bestFit="1" customWidth="1"/>
    <col min="8237" max="8237" width="8.75" style="227" bestFit="1" customWidth="1"/>
    <col min="8238" max="8238" width="7.75" style="227" customWidth="1"/>
    <col min="8239" max="8239" width="9.125" style="227" customWidth="1"/>
    <col min="8240" max="8240" width="9.875" style="227" customWidth="1"/>
    <col min="8241" max="8241" width="7.75" style="227" customWidth="1"/>
    <col min="8242" max="8242" width="9.375" style="227" customWidth="1"/>
    <col min="8243" max="8243" width="9" style="227"/>
    <col min="8244" max="8244" width="5.875" style="227" customWidth="1"/>
    <col min="8245" max="8245" width="7.125" style="227" customWidth="1"/>
    <col min="8246" max="8246" width="8.125" style="227" customWidth="1"/>
    <col min="8247" max="8247" width="10.25" style="227" customWidth="1"/>
    <col min="8248" max="8468" width="9" style="227"/>
    <col min="8469" max="8469" width="36.875" style="227" bestFit="1" customWidth="1"/>
    <col min="8470" max="8470" width="7.125" style="227" customWidth="1"/>
    <col min="8471" max="8471" width="6" style="227" customWidth="1"/>
    <col min="8472" max="8472" width="5.75" style="227" customWidth="1"/>
    <col min="8473" max="8473" width="10.5" style="227" customWidth="1"/>
    <col min="8474" max="8474" width="7.5" style="227" customWidth="1"/>
    <col min="8475" max="8475" width="6.375" style="227" customWidth="1"/>
    <col min="8476" max="8476" width="6.5" style="227" customWidth="1"/>
    <col min="8477" max="8477" width="6.375" style="227" customWidth="1"/>
    <col min="8478" max="8478" width="7.875" style="227" customWidth="1"/>
    <col min="8479" max="8479" width="7.75" style="227" customWidth="1"/>
    <col min="8480" max="8483" width="6.5" style="227" customWidth="1"/>
    <col min="8484" max="8484" width="6.875" style="227" customWidth="1"/>
    <col min="8485" max="8485" width="9" style="227"/>
    <col min="8486" max="8486" width="6.125" style="227" customWidth="1"/>
    <col min="8487" max="8487" width="7.5" style="227" customWidth="1"/>
    <col min="8488" max="8488" width="7.625" style="227" customWidth="1"/>
    <col min="8489" max="8489" width="7.75" style="227" customWidth="1"/>
    <col min="8490" max="8490" width="10.125" style="227" bestFit="1" customWidth="1"/>
    <col min="8491" max="8491" width="12" style="227" customWidth="1"/>
    <col min="8492" max="8492" width="10.25" style="227" bestFit="1" customWidth="1"/>
    <col min="8493" max="8493" width="8.75" style="227" bestFit="1" customWidth="1"/>
    <col min="8494" max="8494" width="7.75" style="227" customWidth="1"/>
    <col min="8495" max="8495" width="9.125" style="227" customWidth="1"/>
    <col min="8496" max="8496" width="9.875" style="227" customWidth="1"/>
    <col min="8497" max="8497" width="7.75" style="227" customWidth="1"/>
    <col min="8498" max="8498" width="9.375" style="227" customWidth="1"/>
    <col min="8499" max="8499" width="9" style="227"/>
    <col min="8500" max="8500" width="5.875" style="227" customWidth="1"/>
    <col min="8501" max="8501" width="7.125" style="227" customWidth="1"/>
    <col min="8502" max="8502" width="8.125" style="227" customWidth="1"/>
    <col min="8503" max="8503" width="10.25" style="227" customWidth="1"/>
    <col min="8504" max="8724" width="9" style="227"/>
    <col min="8725" max="8725" width="36.875" style="227" bestFit="1" customWidth="1"/>
    <col min="8726" max="8726" width="7.125" style="227" customWidth="1"/>
    <col min="8727" max="8727" width="6" style="227" customWidth="1"/>
    <col min="8728" max="8728" width="5.75" style="227" customWidth="1"/>
    <col min="8729" max="8729" width="10.5" style="227" customWidth="1"/>
    <col min="8730" max="8730" width="7.5" style="227" customWidth="1"/>
    <col min="8731" max="8731" width="6.375" style="227" customWidth="1"/>
    <col min="8732" max="8732" width="6.5" style="227" customWidth="1"/>
    <col min="8733" max="8733" width="6.375" style="227" customWidth="1"/>
    <col min="8734" max="8734" width="7.875" style="227" customWidth="1"/>
    <col min="8735" max="8735" width="7.75" style="227" customWidth="1"/>
    <col min="8736" max="8739" width="6.5" style="227" customWidth="1"/>
    <col min="8740" max="8740" width="6.875" style="227" customWidth="1"/>
    <col min="8741" max="8741" width="9" style="227"/>
    <col min="8742" max="8742" width="6.125" style="227" customWidth="1"/>
    <col min="8743" max="8743" width="7.5" style="227" customWidth="1"/>
    <col min="8744" max="8744" width="7.625" style="227" customWidth="1"/>
    <col min="8745" max="8745" width="7.75" style="227" customWidth="1"/>
    <col min="8746" max="8746" width="10.125" style="227" bestFit="1" customWidth="1"/>
    <col min="8747" max="8747" width="12" style="227" customWidth="1"/>
    <col min="8748" max="8748" width="10.25" style="227" bestFit="1" customWidth="1"/>
    <col min="8749" max="8749" width="8.75" style="227" bestFit="1" customWidth="1"/>
    <col min="8750" max="8750" width="7.75" style="227" customWidth="1"/>
    <col min="8751" max="8751" width="9.125" style="227" customWidth="1"/>
    <col min="8752" max="8752" width="9.875" style="227" customWidth="1"/>
    <col min="8753" max="8753" width="7.75" style="227" customWidth="1"/>
    <col min="8754" max="8754" width="9.375" style="227" customWidth="1"/>
    <col min="8755" max="8755" width="9" style="227"/>
    <col min="8756" max="8756" width="5.875" style="227" customWidth="1"/>
    <col min="8757" max="8757" width="7.125" style="227" customWidth="1"/>
    <col min="8758" max="8758" width="8.125" style="227" customWidth="1"/>
    <col min="8759" max="8759" width="10.25" style="227" customWidth="1"/>
    <col min="8760" max="8980" width="9" style="227"/>
    <col min="8981" max="8981" width="36.875" style="227" bestFit="1" customWidth="1"/>
    <col min="8982" max="8982" width="7.125" style="227" customWidth="1"/>
    <col min="8983" max="8983" width="6" style="227" customWidth="1"/>
    <col min="8984" max="8984" width="5.75" style="227" customWidth="1"/>
    <col min="8985" max="8985" width="10.5" style="227" customWidth="1"/>
    <col min="8986" max="8986" width="7.5" style="227" customWidth="1"/>
    <col min="8987" max="8987" width="6.375" style="227" customWidth="1"/>
    <col min="8988" max="8988" width="6.5" style="227" customWidth="1"/>
    <col min="8989" max="8989" width="6.375" style="227" customWidth="1"/>
    <col min="8990" max="8990" width="7.875" style="227" customWidth="1"/>
    <col min="8991" max="8991" width="7.75" style="227" customWidth="1"/>
    <col min="8992" max="8995" width="6.5" style="227" customWidth="1"/>
    <col min="8996" max="8996" width="6.875" style="227" customWidth="1"/>
    <col min="8997" max="8997" width="9" style="227"/>
    <col min="8998" max="8998" width="6.125" style="227" customWidth="1"/>
    <col min="8999" max="8999" width="7.5" style="227" customWidth="1"/>
    <col min="9000" max="9000" width="7.625" style="227" customWidth="1"/>
    <col min="9001" max="9001" width="7.75" style="227" customWidth="1"/>
    <col min="9002" max="9002" width="10.125" style="227" bestFit="1" customWidth="1"/>
    <col min="9003" max="9003" width="12" style="227" customWidth="1"/>
    <col min="9004" max="9004" width="10.25" style="227" bestFit="1" customWidth="1"/>
    <col min="9005" max="9005" width="8.75" style="227" bestFit="1" customWidth="1"/>
    <col min="9006" max="9006" width="7.75" style="227" customWidth="1"/>
    <col min="9007" max="9007" width="9.125" style="227" customWidth="1"/>
    <col min="9008" max="9008" width="9.875" style="227" customWidth="1"/>
    <col min="9009" max="9009" width="7.75" style="227" customWidth="1"/>
    <col min="9010" max="9010" width="9.375" style="227" customWidth="1"/>
    <col min="9011" max="9011" width="9" style="227"/>
    <col min="9012" max="9012" width="5.875" style="227" customWidth="1"/>
    <col min="9013" max="9013" width="7.125" style="227" customWidth="1"/>
    <col min="9014" max="9014" width="8.125" style="227" customWidth="1"/>
    <col min="9015" max="9015" width="10.25" style="227" customWidth="1"/>
    <col min="9016" max="9236" width="9" style="227"/>
    <col min="9237" max="9237" width="36.875" style="227" bestFit="1" customWidth="1"/>
    <col min="9238" max="9238" width="7.125" style="227" customWidth="1"/>
    <col min="9239" max="9239" width="6" style="227" customWidth="1"/>
    <col min="9240" max="9240" width="5.75" style="227" customWidth="1"/>
    <col min="9241" max="9241" width="10.5" style="227" customWidth="1"/>
    <col min="9242" max="9242" width="7.5" style="227" customWidth="1"/>
    <col min="9243" max="9243" width="6.375" style="227" customWidth="1"/>
    <col min="9244" max="9244" width="6.5" style="227" customWidth="1"/>
    <col min="9245" max="9245" width="6.375" style="227" customWidth="1"/>
    <col min="9246" max="9246" width="7.875" style="227" customWidth="1"/>
    <col min="9247" max="9247" width="7.75" style="227" customWidth="1"/>
    <col min="9248" max="9251" width="6.5" style="227" customWidth="1"/>
    <col min="9252" max="9252" width="6.875" style="227" customWidth="1"/>
    <col min="9253" max="9253" width="9" style="227"/>
    <col min="9254" max="9254" width="6.125" style="227" customWidth="1"/>
    <col min="9255" max="9255" width="7.5" style="227" customWidth="1"/>
    <col min="9256" max="9256" width="7.625" style="227" customWidth="1"/>
    <col min="9257" max="9257" width="7.75" style="227" customWidth="1"/>
    <col min="9258" max="9258" width="10.125" style="227" bestFit="1" customWidth="1"/>
    <col min="9259" max="9259" width="12" style="227" customWidth="1"/>
    <col min="9260" max="9260" width="10.25" style="227" bestFit="1" customWidth="1"/>
    <col min="9261" max="9261" width="8.75" style="227" bestFit="1" customWidth="1"/>
    <col min="9262" max="9262" width="7.75" style="227" customWidth="1"/>
    <col min="9263" max="9263" width="9.125" style="227" customWidth="1"/>
    <col min="9264" max="9264" width="9.875" style="227" customWidth="1"/>
    <col min="9265" max="9265" width="7.75" style="227" customWidth="1"/>
    <col min="9266" max="9266" width="9.375" style="227" customWidth="1"/>
    <col min="9267" max="9267" width="9" style="227"/>
    <col min="9268" max="9268" width="5.875" style="227" customWidth="1"/>
    <col min="9269" max="9269" width="7.125" style="227" customWidth="1"/>
    <col min="9270" max="9270" width="8.125" style="227" customWidth="1"/>
    <col min="9271" max="9271" width="10.25" style="227" customWidth="1"/>
    <col min="9272" max="9492" width="9" style="227"/>
    <col min="9493" max="9493" width="36.875" style="227" bestFit="1" customWidth="1"/>
    <col min="9494" max="9494" width="7.125" style="227" customWidth="1"/>
    <col min="9495" max="9495" width="6" style="227" customWidth="1"/>
    <col min="9496" max="9496" width="5.75" style="227" customWidth="1"/>
    <col min="9497" max="9497" width="10.5" style="227" customWidth="1"/>
    <col min="9498" max="9498" width="7.5" style="227" customWidth="1"/>
    <col min="9499" max="9499" width="6.375" style="227" customWidth="1"/>
    <col min="9500" max="9500" width="6.5" style="227" customWidth="1"/>
    <col min="9501" max="9501" width="6.375" style="227" customWidth="1"/>
    <col min="9502" max="9502" width="7.875" style="227" customWidth="1"/>
    <col min="9503" max="9503" width="7.75" style="227" customWidth="1"/>
    <col min="9504" max="9507" width="6.5" style="227" customWidth="1"/>
    <col min="9508" max="9508" width="6.875" style="227" customWidth="1"/>
    <col min="9509" max="9509" width="9" style="227"/>
    <col min="9510" max="9510" width="6.125" style="227" customWidth="1"/>
    <col min="9511" max="9511" width="7.5" style="227" customWidth="1"/>
    <col min="9512" max="9512" width="7.625" style="227" customWidth="1"/>
    <col min="9513" max="9513" width="7.75" style="227" customWidth="1"/>
    <col min="9514" max="9514" width="10.125" style="227" bestFit="1" customWidth="1"/>
    <col min="9515" max="9515" width="12" style="227" customWidth="1"/>
    <col min="9516" max="9516" width="10.25" style="227" bestFit="1" customWidth="1"/>
    <col min="9517" max="9517" width="8.75" style="227" bestFit="1" customWidth="1"/>
    <col min="9518" max="9518" width="7.75" style="227" customWidth="1"/>
    <col min="9519" max="9519" width="9.125" style="227" customWidth="1"/>
    <col min="9520" max="9520" width="9.875" style="227" customWidth="1"/>
    <col min="9521" max="9521" width="7.75" style="227" customWidth="1"/>
    <col min="9522" max="9522" width="9.375" style="227" customWidth="1"/>
    <col min="9523" max="9523" width="9" style="227"/>
    <col min="9524" max="9524" width="5.875" style="227" customWidth="1"/>
    <col min="9525" max="9525" width="7.125" style="227" customWidth="1"/>
    <col min="9526" max="9526" width="8.125" style="227" customWidth="1"/>
    <col min="9527" max="9527" width="10.25" style="227" customWidth="1"/>
    <col min="9528" max="9748" width="9" style="227"/>
    <col min="9749" max="9749" width="36.875" style="227" bestFit="1" customWidth="1"/>
    <col min="9750" max="9750" width="7.125" style="227" customWidth="1"/>
    <col min="9751" max="9751" width="6" style="227" customWidth="1"/>
    <col min="9752" max="9752" width="5.75" style="227" customWidth="1"/>
    <col min="9753" max="9753" width="10.5" style="227" customWidth="1"/>
    <col min="9754" max="9754" width="7.5" style="227" customWidth="1"/>
    <col min="9755" max="9755" width="6.375" style="227" customWidth="1"/>
    <col min="9756" max="9756" width="6.5" style="227" customWidth="1"/>
    <col min="9757" max="9757" width="6.375" style="227" customWidth="1"/>
    <col min="9758" max="9758" width="7.875" style="227" customWidth="1"/>
    <col min="9759" max="9759" width="7.75" style="227" customWidth="1"/>
    <col min="9760" max="9763" width="6.5" style="227" customWidth="1"/>
    <col min="9764" max="9764" width="6.875" style="227" customWidth="1"/>
    <col min="9765" max="9765" width="9" style="227"/>
    <col min="9766" max="9766" width="6.125" style="227" customWidth="1"/>
    <col min="9767" max="9767" width="7.5" style="227" customWidth="1"/>
    <col min="9768" max="9768" width="7.625" style="227" customWidth="1"/>
    <col min="9769" max="9769" width="7.75" style="227" customWidth="1"/>
    <col min="9770" max="9770" width="10.125" style="227" bestFit="1" customWidth="1"/>
    <col min="9771" max="9771" width="12" style="227" customWidth="1"/>
    <col min="9772" max="9772" width="10.25" style="227" bestFit="1" customWidth="1"/>
    <col min="9773" max="9773" width="8.75" style="227" bestFit="1" customWidth="1"/>
    <col min="9774" max="9774" width="7.75" style="227" customWidth="1"/>
    <col min="9775" max="9775" width="9.125" style="227" customWidth="1"/>
    <col min="9776" max="9776" width="9.875" style="227" customWidth="1"/>
    <col min="9777" max="9777" width="7.75" style="227" customWidth="1"/>
    <col min="9778" max="9778" width="9.375" style="227" customWidth="1"/>
    <col min="9779" max="9779" width="9" style="227"/>
    <col min="9780" max="9780" width="5.875" style="227" customWidth="1"/>
    <col min="9781" max="9781" width="7.125" style="227" customWidth="1"/>
    <col min="9782" max="9782" width="8.125" style="227" customWidth="1"/>
    <col min="9783" max="9783" width="10.25" style="227" customWidth="1"/>
    <col min="9784" max="10004" width="9" style="227"/>
    <col min="10005" max="10005" width="36.875" style="227" bestFit="1" customWidth="1"/>
    <col min="10006" max="10006" width="7.125" style="227" customWidth="1"/>
    <col min="10007" max="10007" width="6" style="227" customWidth="1"/>
    <col min="10008" max="10008" width="5.75" style="227" customWidth="1"/>
    <col min="10009" max="10009" width="10.5" style="227" customWidth="1"/>
    <col min="10010" max="10010" width="7.5" style="227" customWidth="1"/>
    <col min="10011" max="10011" width="6.375" style="227" customWidth="1"/>
    <col min="10012" max="10012" width="6.5" style="227" customWidth="1"/>
    <col min="10013" max="10013" width="6.375" style="227" customWidth="1"/>
    <col min="10014" max="10014" width="7.875" style="227" customWidth="1"/>
    <col min="10015" max="10015" width="7.75" style="227" customWidth="1"/>
    <col min="10016" max="10019" width="6.5" style="227" customWidth="1"/>
    <col min="10020" max="10020" width="6.875" style="227" customWidth="1"/>
    <col min="10021" max="10021" width="9" style="227"/>
    <col min="10022" max="10022" width="6.125" style="227" customWidth="1"/>
    <col min="10023" max="10023" width="7.5" style="227" customWidth="1"/>
    <col min="10024" max="10024" width="7.625" style="227" customWidth="1"/>
    <col min="10025" max="10025" width="7.75" style="227" customWidth="1"/>
    <col min="10026" max="10026" width="10.125" style="227" bestFit="1" customWidth="1"/>
    <col min="10027" max="10027" width="12" style="227" customWidth="1"/>
    <col min="10028" max="10028" width="10.25" style="227" bestFit="1" customWidth="1"/>
    <col min="10029" max="10029" width="8.75" style="227" bestFit="1" customWidth="1"/>
    <col min="10030" max="10030" width="7.75" style="227" customWidth="1"/>
    <col min="10031" max="10031" width="9.125" style="227" customWidth="1"/>
    <col min="10032" max="10032" width="9.875" style="227" customWidth="1"/>
    <col min="10033" max="10033" width="7.75" style="227" customWidth="1"/>
    <col min="10034" max="10034" width="9.375" style="227" customWidth="1"/>
    <col min="10035" max="10035" width="9" style="227"/>
    <col min="10036" max="10036" width="5.875" style="227" customWidth="1"/>
    <col min="10037" max="10037" width="7.125" style="227" customWidth="1"/>
    <col min="10038" max="10038" width="8.125" style="227" customWidth="1"/>
    <col min="10039" max="10039" width="10.25" style="227" customWidth="1"/>
    <col min="10040" max="10260" width="9" style="227"/>
    <col min="10261" max="10261" width="36.875" style="227" bestFit="1" customWidth="1"/>
    <col min="10262" max="10262" width="7.125" style="227" customWidth="1"/>
    <col min="10263" max="10263" width="6" style="227" customWidth="1"/>
    <col min="10264" max="10264" width="5.75" style="227" customWidth="1"/>
    <col min="10265" max="10265" width="10.5" style="227" customWidth="1"/>
    <col min="10266" max="10266" width="7.5" style="227" customWidth="1"/>
    <col min="10267" max="10267" width="6.375" style="227" customWidth="1"/>
    <col min="10268" max="10268" width="6.5" style="227" customWidth="1"/>
    <col min="10269" max="10269" width="6.375" style="227" customWidth="1"/>
    <col min="10270" max="10270" width="7.875" style="227" customWidth="1"/>
    <col min="10271" max="10271" width="7.75" style="227" customWidth="1"/>
    <col min="10272" max="10275" width="6.5" style="227" customWidth="1"/>
    <col min="10276" max="10276" width="6.875" style="227" customWidth="1"/>
    <col min="10277" max="10277" width="9" style="227"/>
    <col min="10278" max="10278" width="6.125" style="227" customWidth="1"/>
    <col min="10279" max="10279" width="7.5" style="227" customWidth="1"/>
    <col min="10280" max="10280" width="7.625" style="227" customWidth="1"/>
    <col min="10281" max="10281" width="7.75" style="227" customWidth="1"/>
    <col min="10282" max="10282" width="10.125" style="227" bestFit="1" customWidth="1"/>
    <col min="10283" max="10283" width="12" style="227" customWidth="1"/>
    <col min="10284" max="10284" width="10.25" style="227" bestFit="1" customWidth="1"/>
    <col min="10285" max="10285" width="8.75" style="227" bestFit="1" customWidth="1"/>
    <col min="10286" max="10286" width="7.75" style="227" customWidth="1"/>
    <col min="10287" max="10287" width="9.125" style="227" customWidth="1"/>
    <col min="10288" max="10288" width="9.875" style="227" customWidth="1"/>
    <col min="10289" max="10289" width="7.75" style="227" customWidth="1"/>
    <col min="10290" max="10290" width="9.375" style="227" customWidth="1"/>
    <col min="10291" max="10291" width="9" style="227"/>
    <col min="10292" max="10292" width="5.875" style="227" customWidth="1"/>
    <col min="10293" max="10293" width="7.125" style="227" customWidth="1"/>
    <col min="10294" max="10294" width="8.125" style="227" customWidth="1"/>
    <col min="10295" max="10295" width="10.25" style="227" customWidth="1"/>
    <col min="10296" max="10516" width="9" style="227"/>
    <col min="10517" max="10517" width="36.875" style="227" bestFit="1" customWidth="1"/>
    <col min="10518" max="10518" width="7.125" style="227" customWidth="1"/>
    <col min="10519" max="10519" width="6" style="227" customWidth="1"/>
    <col min="10520" max="10520" width="5.75" style="227" customWidth="1"/>
    <col min="10521" max="10521" width="10.5" style="227" customWidth="1"/>
    <col min="10522" max="10522" width="7.5" style="227" customWidth="1"/>
    <col min="10523" max="10523" width="6.375" style="227" customWidth="1"/>
    <col min="10524" max="10524" width="6.5" style="227" customWidth="1"/>
    <col min="10525" max="10525" width="6.375" style="227" customWidth="1"/>
    <col min="10526" max="10526" width="7.875" style="227" customWidth="1"/>
    <col min="10527" max="10527" width="7.75" style="227" customWidth="1"/>
    <col min="10528" max="10531" width="6.5" style="227" customWidth="1"/>
    <col min="10532" max="10532" width="6.875" style="227" customWidth="1"/>
    <col min="10533" max="10533" width="9" style="227"/>
    <col min="10534" max="10534" width="6.125" style="227" customWidth="1"/>
    <col min="10535" max="10535" width="7.5" style="227" customWidth="1"/>
    <col min="10536" max="10536" width="7.625" style="227" customWidth="1"/>
    <col min="10537" max="10537" width="7.75" style="227" customWidth="1"/>
    <col min="10538" max="10538" width="10.125" style="227" bestFit="1" customWidth="1"/>
    <col min="10539" max="10539" width="12" style="227" customWidth="1"/>
    <col min="10540" max="10540" width="10.25" style="227" bestFit="1" customWidth="1"/>
    <col min="10541" max="10541" width="8.75" style="227" bestFit="1" customWidth="1"/>
    <col min="10542" max="10542" width="7.75" style="227" customWidth="1"/>
    <col min="10543" max="10543" width="9.125" style="227" customWidth="1"/>
    <col min="10544" max="10544" width="9.875" style="227" customWidth="1"/>
    <col min="10545" max="10545" width="7.75" style="227" customWidth="1"/>
    <col min="10546" max="10546" width="9.375" style="227" customWidth="1"/>
    <col min="10547" max="10547" width="9" style="227"/>
    <col min="10548" max="10548" width="5.875" style="227" customWidth="1"/>
    <col min="10549" max="10549" width="7.125" style="227" customWidth="1"/>
    <col min="10550" max="10550" width="8.125" style="227" customWidth="1"/>
    <col min="10551" max="10551" width="10.25" style="227" customWidth="1"/>
    <col min="10552" max="10772" width="9" style="227"/>
    <col min="10773" max="10773" width="36.875" style="227" bestFit="1" customWidth="1"/>
    <col min="10774" max="10774" width="7.125" style="227" customWidth="1"/>
    <col min="10775" max="10775" width="6" style="227" customWidth="1"/>
    <col min="10776" max="10776" width="5.75" style="227" customWidth="1"/>
    <col min="10777" max="10777" width="10.5" style="227" customWidth="1"/>
    <col min="10778" max="10778" width="7.5" style="227" customWidth="1"/>
    <col min="10779" max="10779" width="6.375" style="227" customWidth="1"/>
    <col min="10780" max="10780" width="6.5" style="227" customWidth="1"/>
    <col min="10781" max="10781" width="6.375" style="227" customWidth="1"/>
    <col min="10782" max="10782" width="7.875" style="227" customWidth="1"/>
    <col min="10783" max="10783" width="7.75" style="227" customWidth="1"/>
    <col min="10784" max="10787" width="6.5" style="227" customWidth="1"/>
    <col min="10788" max="10788" width="6.875" style="227" customWidth="1"/>
    <col min="10789" max="10789" width="9" style="227"/>
    <col min="10790" max="10790" width="6.125" style="227" customWidth="1"/>
    <col min="10791" max="10791" width="7.5" style="227" customWidth="1"/>
    <col min="10792" max="10792" width="7.625" style="227" customWidth="1"/>
    <col min="10793" max="10793" width="7.75" style="227" customWidth="1"/>
    <col min="10794" max="10794" width="10.125" style="227" bestFit="1" customWidth="1"/>
    <col min="10795" max="10795" width="12" style="227" customWidth="1"/>
    <col min="10796" max="10796" width="10.25" style="227" bestFit="1" customWidth="1"/>
    <col min="10797" max="10797" width="8.75" style="227" bestFit="1" customWidth="1"/>
    <col min="10798" max="10798" width="7.75" style="227" customWidth="1"/>
    <col min="10799" max="10799" width="9.125" style="227" customWidth="1"/>
    <col min="10800" max="10800" width="9.875" style="227" customWidth="1"/>
    <col min="10801" max="10801" width="7.75" style="227" customWidth="1"/>
    <col min="10802" max="10802" width="9.375" style="227" customWidth="1"/>
    <col min="10803" max="10803" width="9" style="227"/>
    <col min="10804" max="10804" width="5.875" style="227" customWidth="1"/>
    <col min="10805" max="10805" width="7.125" style="227" customWidth="1"/>
    <col min="10806" max="10806" width="8.125" style="227" customWidth="1"/>
    <col min="10807" max="10807" width="10.25" style="227" customWidth="1"/>
    <col min="10808" max="11028" width="9" style="227"/>
    <col min="11029" max="11029" width="36.875" style="227" bestFit="1" customWidth="1"/>
    <col min="11030" max="11030" width="7.125" style="227" customWidth="1"/>
    <col min="11031" max="11031" width="6" style="227" customWidth="1"/>
    <col min="11032" max="11032" width="5.75" style="227" customWidth="1"/>
    <col min="11033" max="11033" width="10.5" style="227" customWidth="1"/>
    <col min="11034" max="11034" width="7.5" style="227" customWidth="1"/>
    <col min="11035" max="11035" width="6.375" style="227" customWidth="1"/>
    <col min="11036" max="11036" width="6.5" style="227" customWidth="1"/>
    <col min="11037" max="11037" width="6.375" style="227" customWidth="1"/>
    <col min="11038" max="11038" width="7.875" style="227" customWidth="1"/>
    <col min="11039" max="11039" width="7.75" style="227" customWidth="1"/>
    <col min="11040" max="11043" width="6.5" style="227" customWidth="1"/>
    <col min="11044" max="11044" width="6.875" style="227" customWidth="1"/>
    <col min="11045" max="11045" width="9" style="227"/>
    <col min="11046" max="11046" width="6.125" style="227" customWidth="1"/>
    <col min="11047" max="11047" width="7.5" style="227" customWidth="1"/>
    <col min="11048" max="11048" width="7.625" style="227" customWidth="1"/>
    <col min="11049" max="11049" width="7.75" style="227" customWidth="1"/>
    <col min="11050" max="11050" width="10.125" style="227" bestFit="1" customWidth="1"/>
    <col min="11051" max="11051" width="12" style="227" customWidth="1"/>
    <col min="11052" max="11052" width="10.25" style="227" bestFit="1" customWidth="1"/>
    <col min="11053" max="11053" width="8.75" style="227" bestFit="1" customWidth="1"/>
    <col min="11054" max="11054" width="7.75" style="227" customWidth="1"/>
    <col min="11055" max="11055" width="9.125" style="227" customWidth="1"/>
    <col min="11056" max="11056" width="9.875" style="227" customWidth="1"/>
    <col min="11057" max="11057" width="7.75" style="227" customWidth="1"/>
    <col min="11058" max="11058" width="9.375" style="227" customWidth="1"/>
    <col min="11059" max="11059" width="9" style="227"/>
    <col min="11060" max="11060" width="5.875" style="227" customWidth="1"/>
    <col min="11061" max="11061" width="7.125" style="227" customWidth="1"/>
    <col min="11062" max="11062" width="8.125" style="227" customWidth="1"/>
    <col min="11063" max="11063" width="10.25" style="227" customWidth="1"/>
    <col min="11064" max="11284" width="9" style="227"/>
    <col min="11285" max="11285" width="36.875" style="227" bestFit="1" customWidth="1"/>
    <col min="11286" max="11286" width="7.125" style="227" customWidth="1"/>
    <col min="11287" max="11287" width="6" style="227" customWidth="1"/>
    <col min="11288" max="11288" width="5.75" style="227" customWidth="1"/>
    <col min="11289" max="11289" width="10.5" style="227" customWidth="1"/>
    <col min="11290" max="11290" width="7.5" style="227" customWidth="1"/>
    <col min="11291" max="11291" width="6.375" style="227" customWidth="1"/>
    <col min="11292" max="11292" width="6.5" style="227" customWidth="1"/>
    <col min="11293" max="11293" width="6.375" style="227" customWidth="1"/>
    <col min="11294" max="11294" width="7.875" style="227" customWidth="1"/>
    <col min="11295" max="11295" width="7.75" style="227" customWidth="1"/>
    <col min="11296" max="11299" width="6.5" style="227" customWidth="1"/>
    <col min="11300" max="11300" width="6.875" style="227" customWidth="1"/>
    <col min="11301" max="11301" width="9" style="227"/>
    <col min="11302" max="11302" width="6.125" style="227" customWidth="1"/>
    <col min="11303" max="11303" width="7.5" style="227" customWidth="1"/>
    <col min="11304" max="11304" width="7.625" style="227" customWidth="1"/>
    <col min="11305" max="11305" width="7.75" style="227" customWidth="1"/>
    <col min="11306" max="11306" width="10.125" style="227" bestFit="1" customWidth="1"/>
    <col min="11307" max="11307" width="12" style="227" customWidth="1"/>
    <col min="11308" max="11308" width="10.25" style="227" bestFit="1" customWidth="1"/>
    <col min="11309" max="11309" width="8.75" style="227" bestFit="1" customWidth="1"/>
    <col min="11310" max="11310" width="7.75" style="227" customWidth="1"/>
    <col min="11311" max="11311" width="9.125" style="227" customWidth="1"/>
    <col min="11312" max="11312" width="9.875" style="227" customWidth="1"/>
    <col min="11313" max="11313" width="7.75" style="227" customWidth="1"/>
    <col min="11314" max="11314" width="9.375" style="227" customWidth="1"/>
    <col min="11315" max="11315" width="9" style="227"/>
    <col min="11316" max="11316" width="5.875" style="227" customWidth="1"/>
    <col min="11317" max="11317" width="7.125" style="227" customWidth="1"/>
    <col min="11318" max="11318" width="8.125" style="227" customWidth="1"/>
    <col min="11319" max="11319" width="10.25" style="227" customWidth="1"/>
    <col min="11320" max="11540" width="9" style="227"/>
    <col min="11541" max="11541" width="36.875" style="227" bestFit="1" customWidth="1"/>
    <col min="11542" max="11542" width="7.125" style="227" customWidth="1"/>
    <col min="11543" max="11543" width="6" style="227" customWidth="1"/>
    <col min="11544" max="11544" width="5.75" style="227" customWidth="1"/>
    <col min="11545" max="11545" width="10.5" style="227" customWidth="1"/>
    <col min="11546" max="11546" width="7.5" style="227" customWidth="1"/>
    <col min="11547" max="11547" width="6.375" style="227" customWidth="1"/>
    <col min="11548" max="11548" width="6.5" style="227" customWidth="1"/>
    <col min="11549" max="11549" width="6.375" style="227" customWidth="1"/>
    <col min="11550" max="11550" width="7.875" style="227" customWidth="1"/>
    <col min="11551" max="11551" width="7.75" style="227" customWidth="1"/>
    <col min="11552" max="11555" width="6.5" style="227" customWidth="1"/>
    <col min="11556" max="11556" width="6.875" style="227" customWidth="1"/>
    <col min="11557" max="11557" width="9" style="227"/>
    <col min="11558" max="11558" width="6.125" style="227" customWidth="1"/>
    <col min="11559" max="11559" width="7.5" style="227" customWidth="1"/>
    <col min="11560" max="11560" width="7.625" style="227" customWidth="1"/>
    <col min="11561" max="11561" width="7.75" style="227" customWidth="1"/>
    <col min="11562" max="11562" width="10.125" style="227" bestFit="1" customWidth="1"/>
    <col min="11563" max="11563" width="12" style="227" customWidth="1"/>
    <col min="11564" max="11564" width="10.25" style="227" bestFit="1" customWidth="1"/>
    <col min="11565" max="11565" width="8.75" style="227" bestFit="1" customWidth="1"/>
    <col min="11566" max="11566" width="7.75" style="227" customWidth="1"/>
    <col min="11567" max="11567" width="9.125" style="227" customWidth="1"/>
    <col min="11568" max="11568" width="9.875" style="227" customWidth="1"/>
    <col min="11569" max="11569" width="7.75" style="227" customWidth="1"/>
    <col min="11570" max="11570" width="9.375" style="227" customWidth="1"/>
    <col min="11571" max="11571" width="9" style="227"/>
    <col min="11572" max="11572" width="5.875" style="227" customWidth="1"/>
    <col min="11573" max="11573" width="7.125" style="227" customWidth="1"/>
    <col min="11574" max="11574" width="8.125" style="227" customWidth="1"/>
    <col min="11575" max="11575" width="10.25" style="227" customWidth="1"/>
    <col min="11576" max="11796" width="9" style="227"/>
    <col min="11797" max="11797" width="36.875" style="227" bestFit="1" customWidth="1"/>
    <col min="11798" max="11798" width="7.125" style="227" customWidth="1"/>
    <col min="11799" max="11799" width="6" style="227" customWidth="1"/>
    <col min="11800" max="11800" width="5.75" style="227" customWidth="1"/>
    <col min="11801" max="11801" width="10.5" style="227" customWidth="1"/>
    <col min="11802" max="11802" width="7.5" style="227" customWidth="1"/>
    <col min="11803" max="11803" width="6.375" style="227" customWidth="1"/>
    <col min="11804" max="11804" width="6.5" style="227" customWidth="1"/>
    <col min="11805" max="11805" width="6.375" style="227" customWidth="1"/>
    <col min="11806" max="11806" width="7.875" style="227" customWidth="1"/>
    <col min="11807" max="11807" width="7.75" style="227" customWidth="1"/>
    <col min="11808" max="11811" width="6.5" style="227" customWidth="1"/>
    <col min="11812" max="11812" width="6.875" style="227" customWidth="1"/>
    <col min="11813" max="11813" width="9" style="227"/>
    <col min="11814" max="11814" width="6.125" style="227" customWidth="1"/>
    <col min="11815" max="11815" width="7.5" style="227" customWidth="1"/>
    <col min="11816" max="11816" width="7.625" style="227" customWidth="1"/>
    <col min="11817" max="11817" width="7.75" style="227" customWidth="1"/>
    <col min="11818" max="11818" width="10.125" style="227" bestFit="1" customWidth="1"/>
    <col min="11819" max="11819" width="12" style="227" customWidth="1"/>
    <col min="11820" max="11820" width="10.25" style="227" bestFit="1" customWidth="1"/>
    <col min="11821" max="11821" width="8.75" style="227" bestFit="1" customWidth="1"/>
    <col min="11822" max="11822" width="7.75" style="227" customWidth="1"/>
    <col min="11823" max="11823" width="9.125" style="227" customWidth="1"/>
    <col min="11824" max="11824" width="9.875" style="227" customWidth="1"/>
    <col min="11825" max="11825" width="7.75" style="227" customWidth="1"/>
    <col min="11826" max="11826" width="9.375" style="227" customWidth="1"/>
    <col min="11827" max="11827" width="9" style="227"/>
    <col min="11828" max="11828" width="5.875" style="227" customWidth="1"/>
    <col min="11829" max="11829" width="7.125" style="227" customWidth="1"/>
    <col min="11830" max="11830" width="8.125" style="227" customWidth="1"/>
    <col min="11831" max="11831" width="10.25" style="227" customWidth="1"/>
    <col min="11832" max="12052" width="9" style="227"/>
    <col min="12053" max="12053" width="36.875" style="227" bestFit="1" customWidth="1"/>
    <col min="12054" max="12054" width="7.125" style="227" customWidth="1"/>
    <col min="12055" max="12055" width="6" style="227" customWidth="1"/>
    <col min="12056" max="12056" width="5.75" style="227" customWidth="1"/>
    <col min="12057" max="12057" width="10.5" style="227" customWidth="1"/>
    <col min="12058" max="12058" width="7.5" style="227" customWidth="1"/>
    <col min="12059" max="12059" width="6.375" style="227" customWidth="1"/>
    <col min="12060" max="12060" width="6.5" style="227" customWidth="1"/>
    <col min="12061" max="12061" width="6.375" style="227" customWidth="1"/>
    <col min="12062" max="12062" width="7.875" style="227" customWidth="1"/>
    <col min="12063" max="12063" width="7.75" style="227" customWidth="1"/>
    <col min="12064" max="12067" width="6.5" style="227" customWidth="1"/>
    <col min="12068" max="12068" width="6.875" style="227" customWidth="1"/>
    <col min="12069" max="12069" width="9" style="227"/>
    <col min="12070" max="12070" width="6.125" style="227" customWidth="1"/>
    <col min="12071" max="12071" width="7.5" style="227" customWidth="1"/>
    <col min="12072" max="12072" width="7.625" style="227" customWidth="1"/>
    <col min="12073" max="12073" width="7.75" style="227" customWidth="1"/>
    <col min="12074" max="12074" width="10.125" style="227" bestFit="1" customWidth="1"/>
    <col min="12075" max="12075" width="12" style="227" customWidth="1"/>
    <col min="12076" max="12076" width="10.25" style="227" bestFit="1" customWidth="1"/>
    <col min="12077" max="12077" width="8.75" style="227" bestFit="1" customWidth="1"/>
    <col min="12078" max="12078" width="7.75" style="227" customWidth="1"/>
    <col min="12079" max="12079" width="9.125" style="227" customWidth="1"/>
    <col min="12080" max="12080" width="9.875" style="227" customWidth="1"/>
    <col min="12081" max="12081" width="7.75" style="227" customWidth="1"/>
    <col min="12082" max="12082" width="9.375" style="227" customWidth="1"/>
    <col min="12083" max="12083" width="9" style="227"/>
    <col min="12084" max="12084" width="5.875" style="227" customWidth="1"/>
    <col min="12085" max="12085" width="7.125" style="227" customWidth="1"/>
    <col min="12086" max="12086" width="8.125" style="227" customWidth="1"/>
    <col min="12087" max="12087" width="10.25" style="227" customWidth="1"/>
    <col min="12088" max="12308" width="9" style="227"/>
    <col min="12309" max="12309" width="36.875" style="227" bestFit="1" customWidth="1"/>
    <col min="12310" max="12310" width="7.125" style="227" customWidth="1"/>
    <col min="12311" max="12311" width="6" style="227" customWidth="1"/>
    <col min="12312" max="12312" width="5.75" style="227" customWidth="1"/>
    <col min="12313" max="12313" width="10.5" style="227" customWidth="1"/>
    <col min="12314" max="12314" width="7.5" style="227" customWidth="1"/>
    <col min="12315" max="12315" width="6.375" style="227" customWidth="1"/>
    <col min="12316" max="12316" width="6.5" style="227" customWidth="1"/>
    <col min="12317" max="12317" width="6.375" style="227" customWidth="1"/>
    <col min="12318" max="12318" width="7.875" style="227" customWidth="1"/>
    <col min="12319" max="12319" width="7.75" style="227" customWidth="1"/>
    <col min="12320" max="12323" width="6.5" style="227" customWidth="1"/>
    <col min="12324" max="12324" width="6.875" style="227" customWidth="1"/>
    <col min="12325" max="12325" width="9" style="227"/>
    <col min="12326" max="12326" width="6.125" style="227" customWidth="1"/>
    <col min="12327" max="12327" width="7.5" style="227" customWidth="1"/>
    <col min="12328" max="12328" width="7.625" style="227" customWidth="1"/>
    <col min="12329" max="12329" width="7.75" style="227" customWidth="1"/>
    <col min="12330" max="12330" width="10.125" style="227" bestFit="1" customWidth="1"/>
    <col min="12331" max="12331" width="12" style="227" customWidth="1"/>
    <col min="12332" max="12332" width="10.25" style="227" bestFit="1" customWidth="1"/>
    <col min="12333" max="12333" width="8.75" style="227" bestFit="1" customWidth="1"/>
    <col min="12334" max="12334" width="7.75" style="227" customWidth="1"/>
    <col min="12335" max="12335" width="9.125" style="227" customWidth="1"/>
    <col min="12336" max="12336" width="9.875" style="227" customWidth="1"/>
    <col min="12337" max="12337" width="7.75" style="227" customWidth="1"/>
    <col min="12338" max="12338" width="9.375" style="227" customWidth="1"/>
    <col min="12339" max="12339" width="9" style="227"/>
    <col min="12340" max="12340" width="5.875" style="227" customWidth="1"/>
    <col min="12341" max="12341" width="7.125" style="227" customWidth="1"/>
    <col min="12342" max="12342" width="8.125" style="227" customWidth="1"/>
    <col min="12343" max="12343" width="10.25" style="227" customWidth="1"/>
    <col min="12344" max="12564" width="9" style="227"/>
    <col min="12565" max="12565" width="36.875" style="227" bestFit="1" customWidth="1"/>
    <col min="12566" max="12566" width="7.125" style="227" customWidth="1"/>
    <col min="12567" max="12567" width="6" style="227" customWidth="1"/>
    <col min="12568" max="12568" width="5.75" style="227" customWidth="1"/>
    <col min="12569" max="12569" width="10.5" style="227" customWidth="1"/>
    <col min="12570" max="12570" width="7.5" style="227" customWidth="1"/>
    <col min="12571" max="12571" width="6.375" style="227" customWidth="1"/>
    <col min="12572" max="12572" width="6.5" style="227" customWidth="1"/>
    <col min="12573" max="12573" width="6.375" style="227" customWidth="1"/>
    <col min="12574" max="12574" width="7.875" style="227" customWidth="1"/>
    <col min="12575" max="12575" width="7.75" style="227" customWidth="1"/>
    <col min="12576" max="12579" width="6.5" style="227" customWidth="1"/>
    <col min="12580" max="12580" width="6.875" style="227" customWidth="1"/>
    <col min="12581" max="12581" width="9" style="227"/>
    <col min="12582" max="12582" width="6.125" style="227" customWidth="1"/>
    <col min="12583" max="12583" width="7.5" style="227" customWidth="1"/>
    <col min="12584" max="12584" width="7.625" style="227" customWidth="1"/>
    <col min="12585" max="12585" width="7.75" style="227" customWidth="1"/>
    <col min="12586" max="12586" width="10.125" style="227" bestFit="1" customWidth="1"/>
    <col min="12587" max="12587" width="12" style="227" customWidth="1"/>
    <col min="12588" max="12588" width="10.25" style="227" bestFit="1" customWidth="1"/>
    <col min="12589" max="12589" width="8.75" style="227" bestFit="1" customWidth="1"/>
    <col min="12590" max="12590" width="7.75" style="227" customWidth="1"/>
    <col min="12591" max="12591" width="9.125" style="227" customWidth="1"/>
    <col min="12592" max="12592" width="9.875" style="227" customWidth="1"/>
    <col min="12593" max="12593" width="7.75" style="227" customWidth="1"/>
    <col min="12594" max="12594" width="9.375" style="227" customWidth="1"/>
    <col min="12595" max="12595" width="9" style="227"/>
    <col min="12596" max="12596" width="5.875" style="227" customWidth="1"/>
    <col min="12597" max="12597" width="7.125" style="227" customWidth="1"/>
    <col min="12598" max="12598" width="8.125" style="227" customWidth="1"/>
    <col min="12599" max="12599" width="10.25" style="227" customWidth="1"/>
    <col min="12600" max="12820" width="9" style="227"/>
    <col min="12821" max="12821" width="36.875" style="227" bestFit="1" customWidth="1"/>
    <col min="12822" max="12822" width="7.125" style="227" customWidth="1"/>
    <col min="12823" max="12823" width="6" style="227" customWidth="1"/>
    <col min="12824" max="12824" width="5.75" style="227" customWidth="1"/>
    <col min="12825" max="12825" width="10.5" style="227" customWidth="1"/>
    <col min="12826" max="12826" width="7.5" style="227" customWidth="1"/>
    <col min="12827" max="12827" width="6.375" style="227" customWidth="1"/>
    <col min="12828" max="12828" width="6.5" style="227" customWidth="1"/>
    <col min="12829" max="12829" width="6.375" style="227" customWidth="1"/>
    <col min="12830" max="12830" width="7.875" style="227" customWidth="1"/>
    <col min="12831" max="12831" width="7.75" style="227" customWidth="1"/>
    <col min="12832" max="12835" width="6.5" style="227" customWidth="1"/>
    <col min="12836" max="12836" width="6.875" style="227" customWidth="1"/>
    <col min="12837" max="12837" width="9" style="227"/>
    <col min="12838" max="12838" width="6.125" style="227" customWidth="1"/>
    <col min="12839" max="12839" width="7.5" style="227" customWidth="1"/>
    <col min="12840" max="12840" width="7.625" style="227" customWidth="1"/>
    <col min="12841" max="12841" width="7.75" style="227" customWidth="1"/>
    <col min="12842" max="12842" width="10.125" style="227" bestFit="1" customWidth="1"/>
    <col min="12843" max="12843" width="12" style="227" customWidth="1"/>
    <col min="12844" max="12844" width="10.25" style="227" bestFit="1" customWidth="1"/>
    <col min="12845" max="12845" width="8.75" style="227" bestFit="1" customWidth="1"/>
    <col min="12846" max="12846" width="7.75" style="227" customWidth="1"/>
    <col min="12847" max="12847" width="9.125" style="227" customWidth="1"/>
    <col min="12848" max="12848" width="9.875" style="227" customWidth="1"/>
    <col min="12849" max="12849" width="7.75" style="227" customWidth="1"/>
    <col min="12850" max="12850" width="9.375" style="227" customWidth="1"/>
    <col min="12851" max="12851" width="9" style="227"/>
    <col min="12852" max="12852" width="5.875" style="227" customWidth="1"/>
    <col min="12853" max="12853" width="7.125" style="227" customWidth="1"/>
    <col min="12854" max="12854" width="8.125" style="227" customWidth="1"/>
    <col min="12855" max="12855" width="10.25" style="227" customWidth="1"/>
    <col min="12856" max="13076" width="9" style="227"/>
    <col min="13077" max="13077" width="36.875" style="227" bestFit="1" customWidth="1"/>
    <col min="13078" max="13078" width="7.125" style="227" customWidth="1"/>
    <col min="13079" max="13079" width="6" style="227" customWidth="1"/>
    <col min="13080" max="13080" width="5.75" style="227" customWidth="1"/>
    <col min="13081" max="13081" width="10.5" style="227" customWidth="1"/>
    <col min="13082" max="13082" width="7.5" style="227" customWidth="1"/>
    <col min="13083" max="13083" width="6.375" style="227" customWidth="1"/>
    <col min="13084" max="13084" width="6.5" style="227" customWidth="1"/>
    <col min="13085" max="13085" width="6.375" style="227" customWidth="1"/>
    <col min="13086" max="13086" width="7.875" style="227" customWidth="1"/>
    <col min="13087" max="13087" width="7.75" style="227" customWidth="1"/>
    <col min="13088" max="13091" width="6.5" style="227" customWidth="1"/>
    <col min="13092" max="13092" width="6.875" style="227" customWidth="1"/>
    <col min="13093" max="13093" width="9" style="227"/>
    <col min="13094" max="13094" width="6.125" style="227" customWidth="1"/>
    <col min="13095" max="13095" width="7.5" style="227" customWidth="1"/>
    <col min="13096" max="13096" width="7.625" style="227" customWidth="1"/>
    <col min="13097" max="13097" width="7.75" style="227" customWidth="1"/>
    <col min="13098" max="13098" width="10.125" style="227" bestFit="1" customWidth="1"/>
    <col min="13099" max="13099" width="12" style="227" customWidth="1"/>
    <col min="13100" max="13100" width="10.25" style="227" bestFit="1" customWidth="1"/>
    <col min="13101" max="13101" width="8.75" style="227" bestFit="1" customWidth="1"/>
    <col min="13102" max="13102" width="7.75" style="227" customWidth="1"/>
    <col min="13103" max="13103" width="9.125" style="227" customWidth="1"/>
    <col min="13104" max="13104" width="9.875" style="227" customWidth="1"/>
    <col min="13105" max="13105" width="7.75" style="227" customWidth="1"/>
    <col min="13106" max="13106" width="9.375" style="227" customWidth="1"/>
    <col min="13107" max="13107" width="9" style="227"/>
    <col min="13108" max="13108" width="5.875" style="227" customWidth="1"/>
    <col min="13109" max="13109" width="7.125" style="227" customWidth="1"/>
    <col min="13110" max="13110" width="8.125" style="227" customWidth="1"/>
    <col min="13111" max="13111" width="10.25" style="227" customWidth="1"/>
    <col min="13112" max="13332" width="9" style="227"/>
    <col min="13333" max="13333" width="36.875" style="227" bestFit="1" customWidth="1"/>
    <col min="13334" max="13334" width="7.125" style="227" customWidth="1"/>
    <col min="13335" max="13335" width="6" style="227" customWidth="1"/>
    <col min="13336" max="13336" width="5.75" style="227" customWidth="1"/>
    <col min="13337" max="13337" width="10.5" style="227" customWidth="1"/>
    <col min="13338" max="13338" width="7.5" style="227" customWidth="1"/>
    <col min="13339" max="13339" width="6.375" style="227" customWidth="1"/>
    <col min="13340" max="13340" width="6.5" style="227" customWidth="1"/>
    <col min="13341" max="13341" width="6.375" style="227" customWidth="1"/>
    <col min="13342" max="13342" width="7.875" style="227" customWidth="1"/>
    <col min="13343" max="13343" width="7.75" style="227" customWidth="1"/>
    <col min="13344" max="13347" width="6.5" style="227" customWidth="1"/>
    <col min="13348" max="13348" width="6.875" style="227" customWidth="1"/>
    <col min="13349" max="13349" width="9" style="227"/>
    <col min="13350" max="13350" width="6.125" style="227" customWidth="1"/>
    <col min="13351" max="13351" width="7.5" style="227" customWidth="1"/>
    <col min="13352" max="13352" width="7.625" style="227" customWidth="1"/>
    <col min="13353" max="13353" width="7.75" style="227" customWidth="1"/>
    <col min="13354" max="13354" width="10.125" style="227" bestFit="1" customWidth="1"/>
    <col min="13355" max="13355" width="12" style="227" customWidth="1"/>
    <col min="13356" max="13356" width="10.25" style="227" bestFit="1" customWidth="1"/>
    <col min="13357" max="13357" width="8.75" style="227" bestFit="1" customWidth="1"/>
    <col min="13358" max="13358" width="7.75" style="227" customWidth="1"/>
    <col min="13359" max="13359" width="9.125" style="227" customWidth="1"/>
    <col min="13360" max="13360" width="9.875" style="227" customWidth="1"/>
    <col min="13361" max="13361" width="7.75" style="227" customWidth="1"/>
    <col min="13362" max="13362" width="9.375" style="227" customWidth="1"/>
    <col min="13363" max="13363" width="9" style="227"/>
    <col min="13364" max="13364" width="5.875" style="227" customWidth="1"/>
    <col min="13365" max="13365" width="7.125" style="227" customWidth="1"/>
    <col min="13366" max="13366" width="8.125" style="227" customWidth="1"/>
    <col min="13367" max="13367" width="10.25" style="227" customWidth="1"/>
    <col min="13368" max="13588" width="9" style="227"/>
    <col min="13589" max="13589" width="36.875" style="227" bestFit="1" customWidth="1"/>
    <col min="13590" max="13590" width="7.125" style="227" customWidth="1"/>
    <col min="13591" max="13591" width="6" style="227" customWidth="1"/>
    <col min="13592" max="13592" width="5.75" style="227" customWidth="1"/>
    <col min="13593" max="13593" width="10.5" style="227" customWidth="1"/>
    <col min="13594" max="13594" width="7.5" style="227" customWidth="1"/>
    <col min="13595" max="13595" width="6.375" style="227" customWidth="1"/>
    <col min="13596" max="13596" width="6.5" style="227" customWidth="1"/>
    <col min="13597" max="13597" width="6.375" style="227" customWidth="1"/>
    <col min="13598" max="13598" width="7.875" style="227" customWidth="1"/>
    <col min="13599" max="13599" width="7.75" style="227" customWidth="1"/>
    <col min="13600" max="13603" width="6.5" style="227" customWidth="1"/>
    <col min="13604" max="13604" width="6.875" style="227" customWidth="1"/>
    <col min="13605" max="13605" width="9" style="227"/>
    <col min="13606" max="13606" width="6.125" style="227" customWidth="1"/>
    <col min="13607" max="13607" width="7.5" style="227" customWidth="1"/>
    <col min="13608" max="13608" width="7.625" style="227" customWidth="1"/>
    <col min="13609" max="13609" width="7.75" style="227" customWidth="1"/>
    <col min="13610" max="13610" width="10.125" style="227" bestFit="1" customWidth="1"/>
    <col min="13611" max="13611" width="12" style="227" customWidth="1"/>
    <col min="13612" max="13612" width="10.25" style="227" bestFit="1" customWidth="1"/>
    <col min="13613" max="13613" width="8.75" style="227" bestFit="1" customWidth="1"/>
    <col min="13614" max="13614" width="7.75" style="227" customWidth="1"/>
    <col min="13615" max="13615" width="9.125" style="227" customWidth="1"/>
    <col min="13616" max="13616" width="9.875" style="227" customWidth="1"/>
    <col min="13617" max="13617" width="7.75" style="227" customWidth="1"/>
    <col min="13618" max="13618" width="9.375" style="227" customWidth="1"/>
    <col min="13619" max="13619" width="9" style="227"/>
    <col min="13620" max="13620" width="5.875" style="227" customWidth="1"/>
    <col min="13621" max="13621" width="7.125" style="227" customWidth="1"/>
    <col min="13622" max="13622" width="8.125" style="227" customWidth="1"/>
    <col min="13623" max="13623" width="10.25" style="227" customWidth="1"/>
    <col min="13624" max="13844" width="9" style="227"/>
    <col min="13845" max="13845" width="36.875" style="227" bestFit="1" customWidth="1"/>
    <col min="13846" max="13846" width="7.125" style="227" customWidth="1"/>
    <col min="13847" max="13847" width="6" style="227" customWidth="1"/>
    <col min="13848" max="13848" width="5.75" style="227" customWidth="1"/>
    <col min="13849" max="13849" width="10.5" style="227" customWidth="1"/>
    <col min="13850" max="13850" width="7.5" style="227" customWidth="1"/>
    <col min="13851" max="13851" width="6.375" style="227" customWidth="1"/>
    <col min="13852" max="13852" width="6.5" style="227" customWidth="1"/>
    <col min="13853" max="13853" width="6.375" style="227" customWidth="1"/>
    <col min="13854" max="13854" width="7.875" style="227" customWidth="1"/>
    <col min="13855" max="13855" width="7.75" style="227" customWidth="1"/>
    <col min="13856" max="13859" width="6.5" style="227" customWidth="1"/>
    <col min="13860" max="13860" width="6.875" style="227" customWidth="1"/>
    <col min="13861" max="13861" width="9" style="227"/>
    <col min="13862" max="13862" width="6.125" style="227" customWidth="1"/>
    <col min="13863" max="13863" width="7.5" style="227" customWidth="1"/>
    <col min="13864" max="13864" width="7.625" style="227" customWidth="1"/>
    <col min="13865" max="13865" width="7.75" style="227" customWidth="1"/>
    <col min="13866" max="13866" width="10.125" style="227" bestFit="1" customWidth="1"/>
    <col min="13867" max="13867" width="12" style="227" customWidth="1"/>
    <col min="13868" max="13868" width="10.25" style="227" bestFit="1" customWidth="1"/>
    <col min="13869" max="13869" width="8.75" style="227" bestFit="1" customWidth="1"/>
    <col min="13870" max="13870" width="7.75" style="227" customWidth="1"/>
    <col min="13871" max="13871" width="9.125" style="227" customWidth="1"/>
    <col min="13872" max="13872" width="9.875" style="227" customWidth="1"/>
    <col min="13873" max="13873" width="7.75" style="227" customWidth="1"/>
    <col min="13874" max="13874" width="9.375" style="227" customWidth="1"/>
    <col min="13875" max="13875" width="9" style="227"/>
    <col min="13876" max="13876" width="5.875" style="227" customWidth="1"/>
    <col min="13877" max="13877" width="7.125" style="227" customWidth="1"/>
    <col min="13878" max="13878" width="8.125" style="227" customWidth="1"/>
    <col min="13879" max="13879" width="10.25" style="227" customWidth="1"/>
    <col min="13880" max="14100" width="9" style="227"/>
    <col min="14101" max="14101" width="36.875" style="227" bestFit="1" customWidth="1"/>
    <col min="14102" max="14102" width="7.125" style="227" customWidth="1"/>
    <col min="14103" max="14103" width="6" style="227" customWidth="1"/>
    <col min="14104" max="14104" width="5.75" style="227" customWidth="1"/>
    <col min="14105" max="14105" width="10.5" style="227" customWidth="1"/>
    <col min="14106" max="14106" width="7.5" style="227" customWidth="1"/>
    <col min="14107" max="14107" width="6.375" style="227" customWidth="1"/>
    <col min="14108" max="14108" width="6.5" style="227" customWidth="1"/>
    <col min="14109" max="14109" width="6.375" style="227" customWidth="1"/>
    <col min="14110" max="14110" width="7.875" style="227" customWidth="1"/>
    <col min="14111" max="14111" width="7.75" style="227" customWidth="1"/>
    <col min="14112" max="14115" width="6.5" style="227" customWidth="1"/>
    <col min="14116" max="14116" width="6.875" style="227" customWidth="1"/>
    <col min="14117" max="14117" width="9" style="227"/>
    <col min="14118" max="14118" width="6.125" style="227" customWidth="1"/>
    <col min="14119" max="14119" width="7.5" style="227" customWidth="1"/>
    <col min="14120" max="14120" width="7.625" style="227" customWidth="1"/>
    <col min="14121" max="14121" width="7.75" style="227" customWidth="1"/>
    <col min="14122" max="14122" width="10.125" style="227" bestFit="1" customWidth="1"/>
    <col min="14123" max="14123" width="12" style="227" customWidth="1"/>
    <col min="14124" max="14124" width="10.25" style="227" bestFit="1" customWidth="1"/>
    <col min="14125" max="14125" width="8.75" style="227" bestFit="1" customWidth="1"/>
    <col min="14126" max="14126" width="7.75" style="227" customWidth="1"/>
    <col min="14127" max="14127" width="9.125" style="227" customWidth="1"/>
    <col min="14128" max="14128" width="9.875" style="227" customWidth="1"/>
    <col min="14129" max="14129" width="7.75" style="227" customWidth="1"/>
    <col min="14130" max="14130" width="9.375" style="227" customWidth="1"/>
    <col min="14131" max="14131" width="9" style="227"/>
    <col min="14132" max="14132" width="5.875" style="227" customWidth="1"/>
    <col min="14133" max="14133" width="7.125" style="227" customWidth="1"/>
    <col min="14134" max="14134" width="8.125" style="227" customWidth="1"/>
    <col min="14135" max="14135" width="10.25" style="227" customWidth="1"/>
    <col min="14136" max="14356" width="9" style="227"/>
    <col min="14357" max="14357" width="36.875" style="227" bestFit="1" customWidth="1"/>
    <col min="14358" max="14358" width="7.125" style="227" customWidth="1"/>
    <col min="14359" max="14359" width="6" style="227" customWidth="1"/>
    <col min="14360" max="14360" width="5.75" style="227" customWidth="1"/>
    <col min="14361" max="14361" width="10.5" style="227" customWidth="1"/>
    <col min="14362" max="14362" width="7.5" style="227" customWidth="1"/>
    <col min="14363" max="14363" width="6.375" style="227" customWidth="1"/>
    <col min="14364" max="14364" width="6.5" style="227" customWidth="1"/>
    <col min="14365" max="14365" width="6.375" style="227" customWidth="1"/>
    <col min="14366" max="14366" width="7.875" style="227" customWidth="1"/>
    <col min="14367" max="14367" width="7.75" style="227" customWidth="1"/>
    <col min="14368" max="14371" width="6.5" style="227" customWidth="1"/>
    <col min="14372" max="14372" width="6.875" style="227" customWidth="1"/>
    <col min="14373" max="14373" width="9" style="227"/>
    <col min="14374" max="14374" width="6.125" style="227" customWidth="1"/>
    <col min="14375" max="14375" width="7.5" style="227" customWidth="1"/>
    <col min="14376" max="14376" width="7.625" style="227" customWidth="1"/>
    <col min="14377" max="14377" width="7.75" style="227" customWidth="1"/>
    <col min="14378" max="14378" width="10.125" style="227" bestFit="1" customWidth="1"/>
    <col min="14379" max="14379" width="12" style="227" customWidth="1"/>
    <col min="14380" max="14380" width="10.25" style="227" bestFit="1" customWidth="1"/>
    <col min="14381" max="14381" width="8.75" style="227" bestFit="1" customWidth="1"/>
    <col min="14382" max="14382" width="7.75" style="227" customWidth="1"/>
    <col min="14383" max="14383" width="9.125" style="227" customWidth="1"/>
    <col min="14384" max="14384" width="9.875" style="227" customWidth="1"/>
    <col min="14385" max="14385" width="7.75" style="227" customWidth="1"/>
    <col min="14386" max="14386" width="9.375" style="227" customWidth="1"/>
    <col min="14387" max="14387" width="9" style="227"/>
    <col min="14388" max="14388" width="5.875" style="227" customWidth="1"/>
    <col min="14389" max="14389" width="7.125" style="227" customWidth="1"/>
    <col min="14390" max="14390" width="8.125" style="227" customWidth="1"/>
    <col min="14391" max="14391" width="10.25" style="227" customWidth="1"/>
    <col min="14392" max="14612" width="9" style="227"/>
    <col min="14613" max="14613" width="36.875" style="227" bestFit="1" customWidth="1"/>
    <col min="14614" max="14614" width="7.125" style="227" customWidth="1"/>
    <col min="14615" max="14615" width="6" style="227" customWidth="1"/>
    <col min="14616" max="14616" width="5.75" style="227" customWidth="1"/>
    <col min="14617" max="14617" width="10.5" style="227" customWidth="1"/>
    <col min="14618" max="14618" width="7.5" style="227" customWidth="1"/>
    <col min="14619" max="14619" width="6.375" style="227" customWidth="1"/>
    <col min="14620" max="14620" width="6.5" style="227" customWidth="1"/>
    <col min="14621" max="14621" width="6.375" style="227" customWidth="1"/>
    <col min="14622" max="14622" width="7.875" style="227" customWidth="1"/>
    <col min="14623" max="14623" width="7.75" style="227" customWidth="1"/>
    <col min="14624" max="14627" width="6.5" style="227" customWidth="1"/>
    <col min="14628" max="14628" width="6.875" style="227" customWidth="1"/>
    <col min="14629" max="14629" width="9" style="227"/>
    <col min="14630" max="14630" width="6.125" style="227" customWidth="1"/>
    <col min="14631" max="14631" width="7.5" style="227" customWidth="1"/>
    <col min="14632" max="14632" width="7.625" style="227" customWidth="1"/>
    <col min="14633" max="14633" width="7.75" style="227" customWidth="1"/>
    <col min="14634" max="14634" width="10.125" style="227" bestFit="1" customWidth="1"/>
    <col min="14635" max="14635" width="12" style="227" customWidth="1"/>
    <col min="14636" max="14636" width="10.25" style="227" bestFit="1" customWidth="1"/>
    <col min="14637" max="14637" width="8.75" style="227" bestFit="1" customWidth="1"/>
    <col min="14638" max="14638" width="7.75" style="227" customWidth="1"/>
    <col min="14639" max="14639" width="9.125" style="227" customWidth="1"/>
    <col min="14640" max="14640" width="9.875" style="227" customWidth="1"/>
    <col min="14641" max="14641" width="7.75" style="227" customWidth="1"/>
    <col min="14642" max="14642" width="9.375" style="227" customWidth="1"/>
    <col min="14643" max="14643" width="9" style="227"/>
    <col min="14644" max="14644" width="5.875" style="227" customWidth="1"/>
    <col min="14645" max="14645" width="7.125" style="227" customWidth="1"/>
    <col min="14646" max="14646" width="8.125" style="227" customWidth="1"/>
    <col min="14647" max="14647" width="10.25" style="227" customWidth="1"/>
    <col min="14648" max="14868" width="9" style="227"/>
    <col min="14869" max="14869" width="36.875" style="227" bestFit="1" customWidth="1"/>
    <col min="14870" max="14870" width="7.125" style="227" customWidth="1"/>
    <col min="14871" max="14871" width="6" style="227" customWidth="1"/>
    <col min="14872" max="14872" width="5.75" style="227" customWidth="1"/>
    <col min="14873" max="14873" width="10.5" style="227" customWidth="1"/>
    <col min="14874" max="14874" width="7.5" style="227" customWidth="1"/>
    <col min="14875" max="14875" width="6.375" style="227" customWidth="1"/>
    <col min="14876" max="14876" width="6.5" style="227" customWidth="1"/>
    <col min="14877" max="14877" width="6.375" style="227" customWidth="1"/>
    <col min="14878" max="14878" width="7.875" style="227" customWidth="1"/>
    <col min="14879" max="14879" width="7.75" style="227" customWidth="1"/>
    <col min="14880" max="14883" width="6.5" style="227" customWidth="1"/>
    <col min="14884" max="14884" width="6.875" style="227" customWidth="1"/>
    <col min="14885" max="14885" width="9" style="227"/>
    <col min="14886" max="14886" width="6.125" style="227" customWidth="1"/>
    <col min="14887" max="14887" width="7.5" style="227" customWidth="1"/>
    <col min="14888" max="14888" width="7.625" style="227" customWidth="1"/>
    <col min="14889" max="14889" width="7.75" style="227" customWidth="1"/>
    <col min="14890" max="14890" width="10.125" style="227" bestFit="1" customWidth="1"/>
    <col min="14891" max="14891" width="12" style="227" customWidth="1"/>
    <col min="14892" max="14892" width="10.25" style="227" bestFit="1" customWidth="1"/>
    <col min="14893" max="14893" width="8.75" style="227" bestFit="1" customWidth="1"/>
    <col min="14894" max="14894" width="7.75" style="227" customWidth="1"/>
    <col min="14895" max="14895" width="9.125" style="227" customWidth="1"/>
    <col min="14896" max="14896" width="9.875" style="227" customWidth="1"/>
    <col min="14897" max="14897" width="7.75" style="227" customWidth="1"/>
    <col min="14898" max="14898" width="9.375" style="227" customWidth="1"/>
    <col min="14899" max="14899" width="9" style="227"/>
    <col min="14900" max="14900" width="5.875" style="227" customWidth="1"/>
    <col min="14901" max="14901" width="7.125" style="227" customWidth="1"/>
    <col min="14902" max="14902" width="8.125" style="227" customWidth="1"/>
    <col min="14903" max="14903" width="10.25" style="227" customWidth="1"/>
    <col min="14904" max="15124" width="9" style="227"/>
    <col min="15125" max="15125" width="36.875" style="227" bestFit="1" customWidth="1"/>
    <col min="15126" max="15126" width="7.125" style="227" customWidth="1"/>
    <col min="15127" max="15127" width="6" style="227" customWidth="1"/>
    <col min="15128" max="15128" width="5.75" style="227" customWidth="1"/>
    <col min="15129" max="15129" width="10.5" style="227" customWidth="1"/>
    <col min="15130" max="15130" width="7.5" style="227" customWidth="1"/>
    <col min="15131" max="15131" width="6.375" style="227" customWidth="1"/>
    <col min="15132" max="15132" width="6.5" style="227" customWidth="1"/>
    <col min="15133" max="15133" width="6.375" style="227" customWidth="1"/>
    <col min="15134" max="15134" width="7.875" style="227" customWidth="1"/>
    <col min="15135" max="15135" width="7.75" style="227" customWidth="1"/>
    <col min="15136" max="15139" width="6.5" style="227" customWidth="1"/>
    <col min="15140" max="15140" width="6.875" style="227" customWidth="1"/>
    <col min="15141" max="15141" width="9" style="227"/>
    <col min="15142" max="15142" width="6.125" style="227" customWidth="1"/>
    <col min="15143" max="15143" width="7.5" style="227" customWidth="1"/>
    <col min="15144" max="15144" width="7.625" style="227" customWidth="1"/>
    <col min="15145" max="15145" width="7.75" style="227" customWidth="1"/>
    <col min="15146" max="15146" width="10.125" style="227" bestFit="1" customWidth="1"/>
    <col min="15147" max="15147" width="12" style="227" customWidth="1"/>
    <col min="15148" max="15148" width="10.25" style="227" bestFit="1" customWidth="1"/>
    <col min="15149" max="15149" width="8.75" style="227" bestFit="1" customWidth="1"/>
    <col min="15150" max="15150" width="7.75" style="227" customWidth="1"/>
    <col min="15151" max="15151" width="9.125" style="227" customWidth="1"/>
    <col min="15152" max="15152" width="9.875" style="227" customWidth="1"/>
    <col min="15153" max="15153" width="7.75" style="227" customWidth="1"/>
    <col min="15154" max="15154" width="9.375" style="227" customWidth="1"/>
    <col min="15155" max="15155" width="9" style="227"/>
    <col min="15156" max="15156" width="5.875" style="227" customWidth="1"/>
    <col min="15157" max="15157" width="7.125" style="227" customWidth="1"/>
    <col min="15158" max="15158" width="8.125" style="227" customWidth="1"/>
    <col min="15159" max="15159" width="10.25" style="227" customWidth="1"/>
    <col min="15160" max="15380" width="9" style="227"/>
    <col min="15381" max="15381" width="36.875" style="227" bestFit="1" customWidth="1"/>
    <col min="15382" max="15382" width="7.125" style="227" customWidth="1"/>
    <col min="15383" max="15383" width="6" style="227" customWidth="1"/>
    <col min="15384" max="15384" width="5.75" style="227" customWidth="1"/>
    <col min="15385" max="15385" width="10.5" style="227" customWidth="1"/>
    <col min="15386" max="15386" width="7.5" style="227" customWidth="1"/>
    <col min="15387" max="15387" width="6.375" style="227" customWidth="1"/>
    <col min="15388" max="15388" width="6.5" style="227" customWidth="1"/>
    <col min="15389" max="15389" width="6.375" style="227" customWidth="1"/>
    <col min="15390" max="15390" width="7.875" style="227" customWidth="1"/>
    <col min="15391" max="15391" width="7.75" style="227" customWidth="1"/>
    <col min="15392" max="15395" width="6.5" style="227" customWidth="1"/>
    <col min="15396" max="15396" width="6.875" style="227" customWidth="1"/>
    <col min="15397" max="15397" width="9" style="227"/>
    <col min="15398" max="15398" width="6.125" style="227" customWidth="1"/>
    <col min="15399" max="15399" width="7.5" style="227" customWidth="1"/>
    <col min="15400" max="15400" width="7.625" style="227" customWidth="1"/>
    <col min="15401" max="15401" width="7.75" style="227" customWidth="1"/>
    <col min="15402" max="15402" width="10.125" style="227" bestFit="1" customWidth="1"/>
    <col min="15403" max="15403" width="12" style="227" customWidth="1"/>
    <col min="15404" max="15404" width="10.25" style="227" bestFit="1" customWidth="1"/>
    <col min="15405" max="15405" width="8.75" style="227" bestFit="1" customWidth="1"/>
    <col min="15406" max="15406" width="7.75" style="227" customWidth="1"/>
    <col min="15407" max="15407" width="9.125" style="227" customWidth="1"/>
    <col min="15408" max="15408" width="9.875" style="227" customWidth="1"/>
    <col min="15409" max="15409" width="7.75" style="227" customWidth="1"/>
    <col min="15410" max="15410" width="9.375" style="227" customWidth="1"/>
    <col min="15411" max="15411" width="9" style="227"/>
    <col min="15412" max="15412" width="5.875" style="227" customWidth="1"/>
    <col min="15413" max="15413" width="7.125" style="227" customWidth="1"/>
    <col min="15414" max="15414" width="8.125" style="227" customWidth="1"/>
    <col min="15415" max="15415" width="10.25" style="227" customWidth="1"/>
    <col min="15416" max="15636" width="9" style="227"/>
    <col min="15637" max="15637" width="36.875" style="227" bestFit="1" customWidth="1"/>
    <col min="15638" max="15638" width="7.125" style="227" customWidth="1"/>
    <col min="15639" max="15639" width="6" style="227" customWidth="1"/>
    <col min="15640" max="15640" width="5.75" style="227" customWidth="1"/>
    <col min="15641" max="15641" width="10.5" style="227" customWidth="1"/>
    <col min="15642" max="15642" width="7.5" style="227" customWidth="1"/>
    <col min="15643" max="15643" width="6.375" style="227" customWidth="1"/>
    <col min="15644" max="15644" width="6.5" style="227" customWidth="1"/>
    <col min="15645" max="15645" width="6.375" style="227" customWidth="1"/>
    <col min="15646" max="15646" width="7.875" style="227" customWidth="1"/>
    <col min="15647" max="15647" width="7.75" style="227" customWidth="1"/>
    <col min="15648" max="15651" width="6.5" style="227" customWidth="1"/>
    <col min="15652" max="15652" width="6.875" style="227" customWidth="1"/>
    <col min="15653" max="15653" width="9" style="227"/>
    <col min="15654" max="15654" width="6.125" style="227" customWidth="1"/>
    <col min="15655" max="15655" width="7.5" style="227" customWidth="1"/>
    <col min="15656" max="15656" width="7.625" style="227" customWidth="1"/>
    <col min="15657" max="15657" width="7.75" style="227" customWidth="1"/>
    <col min="15658" max="15658" width="10.125" style="227" bestFit="1" customWidth="1"/>
    <col min="15659" max="15659" width="12" style="227" customWidth="1"/>
    <col min="15660" max="15660" width="10.25" style="227" bestFit="1" customWidth="1"/>
    <col min="15661" max="15661" width="8.75" style="227" bestFit="1" customWidth="1"/>
    <col min="15662" max="15662" width="7.75" style="227" customWidth="1"/>
    <col min="15663" max="15663" width="9.125" style="227" customWidth="1"/>
    <col min="15664" max="15664" width="9.875" style="227" customWidth="1"/>
    <col min="15665" max="15665" width="7.75" style="227" customWidth="1"/>
    <col min="15666" max="15666" width="9.375" style="227" customWidth="1"/>
    <col min="15667" max="15667" width="9" style="227"/>
    <col min="15668" max="15668" width="5.875" style="227" customWidth="1"/>
    <col min="15669" max="15669" width="7.125" style="227" customWidth="1"/>
    <col min="15670" max="15670" width="8.125" style="227" customWidth="1"/>
    <col min="15671" max="15671" width="10.25" style="227" customWidth="1"/>
    <col min="15672" max="15892" width="9" style="227"/>
    <col min="15893" max="15893" width="36.875" style="227" bestFit="1" customWidth="1"/>
    <col min="15894" max="15894" width="7.125" style="227" customWidth="1"/>
    <col min="15895" max="15895" width="6" style="227" customWidth="1"/>
    <col min="15896" max="15896" width="5.75" style="227" customWidth="1"/>
    <col min="15897" max="15897" width="10.5" style="227" customWidth="1"/>
    <col min="15898" max="15898" width="7.5" style="227" customWidth="1"/>
    <col min="15899" max="15899" width="6.375" style="227" customWidth="1"/>
    <col min="15900" max="15900" width="6.5" style="227" customWidth="1"/>
    <col min="15901" max="15901" width="6.375" style="227" customWidth="1"/>
    <col min="15902" max="15902" width="7.875" style="227" customWidth="1"/>
    <col min="15903" max="15903" width="7.75" style="227" customWidth="1"/>
    <col min="15904" max="15907" width="6.5" style="227" customWidth="1"/>
    <col min="15908" max="15908" width="6.875" style="227" customWidth="1"/>
    <col min="15909" max="15909" width="9" style="227"/>
    <col min="15910" max="15910" width="6.125" style="227" customWidth="1"/>
    <col min="15911" max="15911" width="7.5" style="227" customWidth="1"/>
    <col min="15912" max="15912" width="7.625" style="227" customWidth="1"/>
    <col min="15913" max="15913" width="7.75" style="227" customWidth="1"/>
    <col min="15914" max="15914" width="10.125" style="227" bestFit="1" customWidth="1"/>
    <col min="15915" max="15915" width="12" style="227" customWidth="1"/>
    <col min="15916" max="15916" width="10.25" style="227" bestFit="1" customWidth="1"/>
    <col min="15917" max="15917" width="8.75" style="227" bestFit="1" customWidth="1"/>
    <col min="15918" max="15918" width="7.75" style="227" customWidth="1"/>
    <col min="15919" max="15919" width="9.125" style="227" customWidth="1"/>
    <col min="15920" max="15920" width="9.875" style="227" customWidth="1"/>
    <col min="15921" max="15921" width="7.75" style="227" customWidth="1"/>
    <col min="15922" max="15922" width="9.375" style="227" customWidth="1"/>
    <col min="15923" max="15923" width="9" style="227"/>
    <col min="15924" max="15924" width="5.875" style="227" customWidth="1"/>
    <col min="15925" max="15925" width="7.125" style="227" customWidth="1"/>
    <col min="15926" max="15926" width="8.125" style="227" customWidth="1"/>
    <col min="15927" max="15927" width="10.25" style="227" customWidth="1"/>
    <col min="15928" max="16148" width="9" style="227"/>
    <col min="16149" max="16149" width="36.875" style="227" bestFit="1" customWidth="1"/>
    <col min="16150" max="16150" width="7.125" style="227" customWidth="1"/>
    <col min="16151" max="16151" width="6" style="227" customWidth="1"/>
    <col min="16152" max="16152" width="5.75" style="227" customWidth="1"/>
    <col min="16153" max="16153" width="10.5" style="227" customWidth="1"/>
    <col min="16154" max="16154" width="7.5" style="227" customWidth="1"/>
    <col min="16155" max="16155" width="6.375" style="227" customWidth="1"/>
    <col min="16156" max="16156" width="6.5" style="227" customWidth="1"/>
    <col min="16157" max="16157" width="6.375" style="227" customWidth="1"/>
    <col min="16158" max="16158" width="7.875" style="227" customWidth="1"/>
    <col min="16159" max="16159" width="7.75" style="227" customWidth="1"/>
    <col min="16160" max="16163" width="6.5" style="227" customWidth="1"/>
    <col min="16164" max="16164" width="6.875" style="227" customWidth="1"/>
    <col min="16165" max="16165" width="9" style="227"/>
    <col min="16166" max="16166" width="6.125" style="227" customWidth="1"/>
    <col min="16167" max="16167" width="7.5" style="227" customWidth="1"/>
    <col min="16168" max="16168" width="7.625" style="227" customWidth="1"/>
    <col min="16169" max="16169" width="7.75" style="227" customWidth="1"/>
    <col min="16170" max="16170" width="10.125" style="227" bestFit="1" customWidth="1"/>
    <col min="16171" max="16171" width="12" style="227" customWidth="1"/>
    <col min="16172" max="16172" width="10.25" style="227" bestFit="1" customWidth="1"/>
    <col min="16173" max="16173" width="8.75" style="227" bestFit="1" customWidth="1"/>
    <col min="16174" max="16174" width="7.75" style="227" customWidth="1"/>
    <col min="16175" max="16175" width="9.125" style="227" customWidth="1"/>
    <col min="16176" max="16176" width="9.875" style="227" customWidth="1"/>
    <col min="16177" max="16177" width="7.75" style="227" customWidth="1"/>
    <col min="16178" max="16178" width="9.375" style="227" customWidth="1"/>
    <col min="16179" max="16179" width="9" style="227"/>
    <col min="16180" max="16180" width="5.875" style="227" customWidth="1"/>
    <col min="16181" max="16181" width="7.125" style="227" customWidth="1"/>
    <col min="16182" max="16182" width="8.125" style="227" customWidth="1"/>
    <col min="16183" max="16183" width="10.25" style="227" customWidth="1"/>
    <col min="16184" max="16384" width="9" style="227"/>
  </cols>
  <sheetData>
    <row r="1" spans="1:102" x14ac:dyDescent="0.2">
      <c r="A1" s="255"/>
      <c r="B1" s="255"/>
      <c r="C1" s="255"/>
      <c r="D1" s="255"/>
      <c r="E1" s="255"/>
      <c r="F1" s="255"/>
      <c r="G1" s="255"/>
      <c r="H1" s="255"/>
      <c r="I1" s="255"/>
      <c r="T1" s="255"/>
      <c r="U1" s="255"/>
      <c r="V1" s="255"/>
      <c r="W1" s="255"/>
      <c r="X1" s="255"/>
      <c r="Y1" s="255"/>
      <c r="Z1" s="255"/>
      <c r="AA1" s="255"/>
      <c r="AB1" s="255"/>
      <c r="AC1" s="255"/>
      <c r="AD1" s="255"/>
      <c r="AE1" s="255"/>
      <c r="AF1" s="255"/>
      <c r="AG1" s="255"/>
      <c r="AH1" s="255"/>
      <c r="AI1" s="255"/>
      <c r="AY1" s="255"/>
      <c r="AZ1" s="255"/>
      <c r="BA1" s="255"/>
      <c r="BB1" s="255"/>
      <c r="BC1" s="257" t="s">
        <v>846</v>
      </c>
    </row>
    <row r="2" spans="1:102" x14ac:dyDescent="0.2">
      <c r="A2" s="255"/>
      <c r="B2" s="255"/>
      <c r="C2" s="255"/>
      <c r="D2" s="255"/>
      <c r="E2" s="255"/>
      <c r="F2" s="255"/>
      <c r="G2" s="255"/>
      <c r="H2" s="255"/>
      <c r="I2" s="255"/>
      <c r="T2" s="255"/>
      <c r="U2" s="255"/>
      <c r="V2" s="255"/>
      <c r="W2" s="255"/>
      <c r="X2" s="255"/>
      <c r="Y2" s="255"/>
      <c r="Z2" s="255"/>
      <c r="AA2" s="255"/>
      <c r="AB2" s="255"/>
      <c r="AC2" s="255"/>
      <c r="AD2" s="255"/>
      <c r="AE2" s="255"/>
      <c r="AF2" s="255"/>
      <c r="AG2" s="255"/>
      <c r="AH2" s="255"/>
      <c r="AI2" s="255"/>
      <c r="AY2" s="255"/>
      <c r="AZ2" s="255"/>
      <c r="BA2" s="255"/>
      <c r="BB2" s="255"/>
      <c r="BC2" s="258" t="s">
        <v>0</v>
      </c>
    </row>
    <row r="3" spans="1:102" x14ac:dyDescent="0.2">
      <c r="A3" s="255"/>
      <c r="B3" s="255"/>
      <c r="C3" s="255"/>
      <c r="D3" s="255"/>
      <c r="E3" s="255"/>
      <c r="F3" s="255"/>
      <c r="G3" s="255"/>
      <c r="H3" s="255"/>
      <c r="I3" s="255"/>
      <c r="T3" s="255"/>
      <c r="U3" s="255"/>
      <c r="V3" s="255"/>
      <c r="W3" s="255"/>
      <c r="X3" s="255"/>
      <c r="Y3" s="255"/>
      <c r="Z3" s="255"/>
      <c r="AA3" s="255"/>
      <c r="AB3" s="255"/>
      <c r="AC3" s="255"/>
      <c r="AD3" s="255"/>
      <c r="AE3" s="255"/>
      <c r="AF3" s="255"/>
      <c r="AG3" s="255"/>
      <c r="AH3" s="255"/>
      <c r="AI3" s="255"/>
      <c r="AY3" s="255"/>
      <c r="AZ3" s="255"/>
      <c r="BA3" s="255"/>
      <c r="BB3" s="255"/>
      <c r="BC3" s="258" t="s">
        <v>854</v>
      </c>
    </row>
    <row r="4" spans="1:102" x14ac:dyDescent="0.2">
      <c r="A4" s="432" t="s">
        <v>845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  <c r="O4" s="432"/>
      <c r="P4" s="432"/>
      <c r="Q4" s="432"/>
      <c r="R4" s="432"/>
      <c r="S4" s="432"/>
      <c r="T4" s="432"/>
      <c r="U4" s="432"/>
      <c r="V4" s="432"/>
      <c r="W4" s="432"/>
      <c r="X4" s="432"/>
      <c r="Y4" s="432"/>
      <c r="Z4" s="432"/>
      <c r="AA4" s="432"/>
      <c r="AB4" s="432"/>
      <c r="AC4" s="432"/>
      <c r="AD4" s="432"/>
      <c r="AE4" s="432"/>
      <c r="AF4" s="432"/>
      <c r="AG4" s="432"/>
      <c r="AH4" s="432"/>
      <c r="AI4" s="432"/>
      <c r="AJ4" s="432"/>
      <c r="AK4" s="432"/>
      <c r="AL4" s="432"/>
      <c r="AM4" s="432"/>
      <c r="AN4" s="432"/>
      <c r="AO4" s="432"/>
      <c r="AP4" s="432"/>
      <c r="AQ4" s="432"/>
      <c r="AR4" s="432"/>
      <c r="AS4" s="432"/>
      <c r="AT4" s="432"/>
      <c r="AU4" s="432"/>
      <c r="AV4" s="432"/>
      <c r="AW4" s="432"/>
      <c r="AX4" s="432"/>
      <c r="AY4" s="432"/>
      <c r="AZ4" s="432"/>
      <c r="BA4" s="432"/>
      <c r="BB4" s="432"/>
      <c r="BC4" s="432"/>
      <c r="BD4" s="224"/>
      <c r="BE4" s="224"/>
      <c r="BF4" s="224"/>
      <c r="BG4" s="224"/>
      <c r="BH4" s="224"/>
      <c r="BI4" s="224"/>
      <c r="BJ4" s="224"/>
      <c r="BK4" s="224"/>
      <c r="BL4" s="224"/>
      <c r="BM4" s="224"/>
      <c r="BN4" s="224"/>
      <c r="BO4" s="224"/>
      <c r="BP4" s="224"/>
      <c r="BQ4" s="224"/>
      <c r="BR4" s="231"/>
      <c r="BS4" s="231"/>
      <c r="BT4" s="231"/>
      <c r="BU4" s="231"/>
      <c r="BV4" s="231"/>
      <c r="BW4" s="231"/>
      <c r="BX4" s="231"/>
      <c r="BY4" s="231"/>
      <c r="BZ4" s="230"/>
      <c r="CA4" s="230"/>
      <c r="CB4" s="230"/>
      <c r="CC4" s="230"/>
      <c r="CD4" s="230"/>
      <c r="CE4" s="230"/>
      <c r="CF4" s="230"/>
      <c r="CG4" s="230"/>
      <c r="CH4" s="230"/>
      <c r="CI4" s="230"/>
      <c r="CJ4" s="230"/>
      <c r="CK4" s="230"/>
      <c r="CL4" s="230"/>
      <c r="CM4" s="230"/>
      <c r="CN4" s="230"/>
      <c r="CO4" s="230"/>
      <c r="CP4" s="230"/>
      <c r="CQ4" s="230"/>
      <c r="CR4" s="230"/>
      <c r="CS4" s="230"/>
      <c r="CT4" s="230"/>
      <c r="CU4" s="230"/>
      <c r="CV4" s="230"/>
      <c r="CW4" s="230"/>
      <c r="CX4" s="230"/>
    </row>
    <row r="5" spans="1:102" s="229" customFormat="1" ht="18.75" customHeight="1" x14ac:dyDescent="0.2">
      <c r="A5" s="439" t="s">
        <v>1063</v>
      </c>
      <c r="B5" s="439"/>
      <c r="C5" s="439"/>
      <c r="D5" s="439"/>
      <c r="E5" s="439"/>
      <c r="F5" s="439"/>
      <c r="G5" s="439"/>
      <c r="H5" s="439"/>
      <c r="I5" s="439"/>
      <c r="J5" s="439"/>
      <c r="K5" s="439"/>
      <c r="L5" s="439"/>
      <c r="M5" s="439"/>
      <c r="N5" s="439"/>
      <c r="O5" s="439"/>
      <c r="P5" s="439"/>
      <c r="Q5" s="439"/>
      <c r="R5" s="439"/>
      <c r="S5" s="439"/>
      <c r="T5" s="439"/>
      <c r="U5" s="439"/>
      <c r="V5" s="439"/>
      <c r="W5" s="439"/>
      <c r="X5" s="439"/>
      <c r="Y5" s="439"/>
      <c r="Z5" s="439"/>
      <c r="AA5" s="439"/>
      <c r="AB5" s="439"/>
      <c r="AC5" s="439"/>
      <c r="AD5" s="439"/>
      <c r="AE5" s="439"/>
      <c r="AF5" s="439"/>
      <c r="AG5" s="439"/>
      <c r="AH5" s="439"/>
      <c r="AI5" s="439"/>
      <c r="AJ5" s="439"/>
      <c r="AK5" s="439"/>
      <c r="AL5" s="439"/>
      <c r="AM5" s="439"/>
      <c r="AN5" s="439"/>
      <c r="AO5" s="439"/>
      <c r="AP5" s="439"/>
      <c r="AQ5" s="439"/>
      <c r="AR5" s="439"/>
      <c r="AS5" s="439"/>
      <c r="AT5" s="439"/>
      <c r="AU5" s="439"/>
      <c r="AV5" s="439"/>
      <c r="AW5" s="439"/>
      <c r="AX5" s="439"/>
      <c r="AY5" s="439"/>
      <c r="AZ5" s="439"/>
      <c r="BA5" s="439"/>
      <c r="BB5" s="439"/>
      <c r="BC5" s="439"/>
      <c r="BD5" s="226"/>
      <c r="BE5" s="226"/>
      <c r="BF5" s="226"/>
      <c r="BG5" s="226"/>
      <c r="BH5" s="226"/>
    </row>
    <row r="6" spans="1:102" s="229" customFormat="1" ht="18.75" customHeight="1" x14ac:dyDescent="0.2">
      <c r="A6" s="256"/>
      <c r="B6" s="256"/>
      <c r="C6" s="256"/>
      <c r="D6" s="256"/>
      <c r="E6" s="256"/>
      <c r="F6" s="256"/>
      <c r="G6" s="256"/>
      <c r="H6" s="256"/>
      <c r="I6" s="256"/>
      <c r="J6" s="295"/>
      <c r="K6" s="295"/>
      <c r="L6" s="295"/>
      <c r="M6" s="295"/>
      <c r="N6" s="295"/>
      <c r="O6" s="280"/>
      <c r="P6" s="280"/>
      <c r="Q6" s="280"/>
      <c r="R6" s="280"/>
      <c r="S6" s="280"/>
      <c r="T6" s="256"/>
      <c r="U6" s="256"/>
      <c r="V6" s="256"/>
      <c r="W6" s="256"/>
      <c r="X6" s="256"/>
      <c r="Y6" s="256"/>
      <c r="Z6" s="256"/>
      <c r="AA6" s="256"/>
      <c r="AB6" s="256"/>
      <c r="AC6" s="256"/>
      <c r="AD6" s="256"/>
      <c r="AE6" s="256"/>
      <c r="AF6" s="256"/>
      <c r="AG6" s="256"/>
      <c r="AH6" s="256"/>
      <c r="AI6" s="256"/>
      <c r="AJ6" s="295"/>
      <c r="AK6" s="295"/>
      <c r="AL6" s="295"/>
      <c r="AM6" s="295"/>
      <c r="AN6" s="295"/>
      <c r="AO6" s="278"/>
      <c r="AP6" s="278"/>
      <c r="AQ6" s="278"/>
      <c r="AR6" s="278"/>
      <c r="AS6" s="278"/>
      <c r="AT6" s="280"/>
      <c r="AU6" s="280"/>
      <c r="AV6" s="280"/>
      <c r="AW6" s="280"/>
      <c r="AX6" s="280"/>
      <c r="AY6" s="256"/>
      <c r="AZ6" s="256"/>
      <c r="BA6" s="256"/>
      <c r="BB6" s="256"/>
      <c r="BC6" s="256"/>
      <c r="BD6" s="226"/>
      <c r="BE6" s="226"/>
      <c r="BF6" s="226"/>
      <c r="BG6" s="226"/>
      <c r="BH6" s="226"/>
    </row>
    <row r="7" spans="1:102" x14ac:dyDescent="0.2">
      <c r="A7" s="433" t="s">
        <v>887</v>
      </c>
      <c r="B7" s="433"/>
      <c r="C7" s="433"/>
      <c r="D7" s="433"/>
      <c r="E7" s="433"/>
      <c r="F7" s="433"/>
      <c r="G7" s="433"/>
      <c r="H7" s="433"/>
      <c r="I7" s="433"/>
      <c r="J7" s="433"/>
      <c r="K7" s="433"/>
      <c r="L7" s="433"/>
      <c r="M7" s="433"/>
      <c r="N7" s="433"/>
      <c r="O7" s="433"/>
      <c r="P7" s="433"/>
      <c r="Q7" s="433"/>
      <c r="R7" s="433"/>
      <c r="S7" s="433"/>
      <c r="T7" s="433"/>
      <c r="U7" s="433"/>
      <c r="V7" s="433"/>
      <c r="W7" s="433"/>
      <c r="X7" s="433"/>
      <c r="Y7" s="433"/>
      <c r="Z7" s="433"/>
      <c r="AA7" s="433"/>
      <c r="AB7" s="433"/>
      <c r="AC7" s="433"/>
      <c r="AD7" s="433"/>
      <c r="AE7" s="433"/>
      <c r="AF7" s="433"/>
      <c r="AG7" s="433"/>
      <c r="AH7" s="433"/>
      <c r="AI7" s="433"/>
      <c r="AJ7" s="433"/>
      <c r="AK7" s="433"/>
      <c r="AL7" s="433"/>
      <c r="AM7" s="433"/>
      <c r="AN7" s="433"/>
      <c r="AO7" s="433"/>
      <c r="AP7" s="433"/>
      <c r="AQ7" s="433"/>
      <c r="AR7" s="433"/>
      <c r="AS7" s="433"/>
      <c r="AT7" s="433"/>
      <c r="AU7" s="433"/>
      <c r="AV7" s="433"/>
      <c r="AW7" s="433"/>
      <c r="AX7" s="433"/>
      <c r="AY7" s="433"/>
      <c r="AZ7" s="433"/>
      <c r="BA7" s="433"/>
      <c r="BB7" s="433"/>
      <c r="BC7" s="433"/>
      <c r="BD7" s="141"/>
      <c r="BE7" s="141"/>
      <c r="BF7" s="141"/>
      <c r="BG7" s="141"/>
      <c r="BH7" s="141"/>
      <c r="BI7" s="141"/>
      <c r="BJ7" s="141"/>
      <c r="BK7" s="141"/>
      <c r="BL7" s="141"/>
      <c r="BM7" s="141"/>
      <c r="BN7" s="141"/>
      <c r="BO7" s="141"/>
      <c r="BP7" s="141"/>
      <c r="BQ7" s="141"/>
      <c r="BR7" s="141"/>
      <c r="BS7" s="141"/>
      <c r="BT7" s="141"/>
      <c r="BU7" s="141"/>
      <c r="BV7" s="141"/>
      <c r="BW7" s="141"/>
      <c r="BX7" s="141"/>
      <c r="BY7" s="141"/>
      <c r="BZ7" s="141"/>
      <c r="CA7" s="141"/>
      <c r="CB7" s="141"/>
      <c r="CC7" s="141"/>
      <c r="CD7" s="141"/>
      <c r="CE7" s="141"/>
      <c r="CF7" s="141"/>
      <c r="CG7" s="141"/>
      <c r="CH7" s="141"/>
      <c r="CI7" s="141"/>
      <c r="CJ7" s="141"/>
      <c r="CK7" s="141"/>
      <c r="CL7" s="141"/>
      <c r="CM7" s="141"/>
      <c r="CN7" s="141"/>
      <c r="CO7" s="141"/>
      <c r="CP7" s="141"/>
      <c r="CQ7" s="141"/>
      <c r="CR7" s="141"/>
      <c r="CS7" s="141"/>
      <c r="CT7" s="141"/>
      <c r="CU7" s="141"/>
      <c r="CV7" s="141"/>
      <c r="CW7" s="141"/>
      <c r="CX7" s="141"/>
    </row>
    <row r="8" spans="1:102" x14ac:dyDescent="0.2">
      <c r="A8" s="434" t="s">
        <v>104</v>
      </c>
      <c r="B8" s="434"/>
      <c r="C8" s="434"/>
      <c r="D8" s="434"/>
      <c r="E8" s="434"/>
      <c r="F8" s="434"/>
      <c r="G8" s="434"/>
      <c r="H8" s="434"/>
      <c r="I8" s="434"/>
      <c r="J8" s="434"/>
      <c r="K8" s="434"/>
      <c r="L8" s="434"/>
      <c r="M8" s="434"/>
      <c r="N8" s="434"/>
      <c r="O8" s="434"/>
      <c r="P8" s="434"/>
      <c r="Q8" s="434"/>
      <c r="R8" s="434"/>
      <c r="S8" s="434"/>
      <c r="T8" s="434"/>
      <c r="U8" s="434"/>
      <c r="V8" s="434"/>
      <c r="W8" s="434"/>
      <c r="X8" s="434"/>
      <c r="Y8" s="434"/>
      <c r="Z8" s="434"/>
      <c r="AA8" s="434"/>
      <c r="AB8" s="434"/>
      <c r="AC8" s="434"/>
      <c r="AD8" s="434"/>
      <c r="AE8" s="434"/>
      <c r="AF8" s="434"/>
      <c r="AG8" s="434"/>
      <c r="AH8" s="434"/>
      <c r="AI8" s="434"/>
      <c r="AJ8" s="434"/>
      <c r="AK8" s="434"/>
      <c r="AL8" s="434"/>
      <c r="AM8" s="434"/>
      <c r="AN8" s="434"/>
      <c r="AO8" s="434"/>
      <c r="AP8" s="434"/>
      <c r="AQ8" s="434"/>
      <c r="AR8" s="434"/>
      <c r="AS8" s="434"/>
      <c r="AT8" s="434"/>
      <c r="AU8" s="434"/>
      <c r="AV8" s="434"/>
      <c r="AW8" s="434"/>
      <c r="AX8" s="434"/>
      <c r="AY8" s="434"/>
      <c r="AZ8" s="434"/>
      <c r="BA8" s="434"/>
      <c r="BB8" s="434"/>
      <c r="BC8" s="434"/>
      <c r="BD8" s="232"/>
      <c r="BE8" s="232"/>
      <c r="BF8" s="232"/>
      <c r="BG8" s="232"/>
      <c r="BH8" s="232"/>
      <c r="BI8" s="232"/>
      <c r="BJ8" s="232"/>
      <c r="BK8" s="232"/>
      <c r="BL8" s="232"/>
      <c r="BM8" s="232"/>
      <c r="BN8" s="232"/>
      <c r="BO8" s="232"/>
      <c r="BP8" s="232"/>
      <c r="BQ8" s="232"/>
      <c r="BR8" s="232"/>
      <c r="BS8" s="232"/>
      <c r="BT8" s="232"/>
      <c r="BU8" s="232"/>
      <c r="BV8" s="232"/>
      <c r="BW8" s="232"/>
      <c r="BX8" s="232"/>
      <c r="BY8" s="232"/>
      <c r="BZ8" s="232"/>
      <c r="CA8" s="232"/>
      <c r="CB8" s="232"/>
      <c r="CC8" s="232"/>
      <c r="CD8" s="232"/>
      <c r="CE8" s="232"/>
      <c r="CF8" s="232"/>
      <c r="CG8" s="232"/>
      <c r="CH8" s="232"/>
      <c r="CI8" s="232"/>
      <c r="CJ8" s="232"/>
      <c r="CK8" s="232"/>
      <c r="CL8" s="232"/>
      <c r="CM8" s="232"/>
      <c r="CN8" s="232"/>
      <c r="CO8" s="232"/>
      <c r="CP8" s="232"/>
      <c r="CQ8" s="232"/>
      <c r="CR8" s="232"/>
      <c r="CS8" s="232"/>
      <c r="CT8" s="232"/>
      <c r="CU8" s="232"/>
      <c r="CV8" s="232"/>
      <c r="CW8" s="232"/>
      <c r="CX8" s="232"/>
    </row>
    <row r="9" spans="1:102" x14ac:dyDescent="0.2">
      <c r="A9" s="259"/>
      <c r="B9" s="259"/>
      <c r="C9" s="259"/>
      <c r="D9" s="259"/>
      <c r="E9" s="259"/>
      <c r="F9" s="259"/>
      <c r="G9" s="259"/>
      <c r="H9" s="259"/>
      <c r="I9" s="259"/>
      <c r="J9" s="296"/>
      <c r="K9" s="296"/>
      <c r="L9" s="296"/>
      <c r="M9" s="296"/>
      <c r="N9" s="296"/>
      <c r="O9" s="281"/>
      <c r="P9" s="281"/>
      <c r="Q9" s="281"/>
      <c r="R9" s="281"/>
      <c r="S9" s="281"/>
      <c r="T9" s="259"/>
      <c r="U9" s="259"/>
      <c r="V9" s="259"/>
      <c r="W9" s="259"/>
      <c r="X9" s="259"/>
      <c r="Y9" s="259"/>
      <c r="Z9" s="259"/>
      <c r="AA9" s="259"/>
      <c r="AB9" s="259"/>
      <c r="AC9" s="259"/>
      <c r="AD9" s="259"/>
      <c r="AE9" s="259"/>
      <c r="AF9" s="259"/>
      <c r="AG9" s="259"/>
      <c r="AH9" s="259"/>
      <c r="AI9" s="259"/>
      <c r="AJ9" s="296"/>
      <c r="AK9" s="296"/>
      <c r="AL9" s="296"/>
      <c r="AM9" s="296"/>
      <c r="AN9" s="296"/>
      <c r="AO9" s="259"/>
      <c r="AP9" s="259"/>
      <c r="AQ9" s="259"/>
      <c r="AR9" s="259"/>
      <c r="AS9" s="259"/>
      <c r="AT9" s="281"/>
      <c r="AU9" s="281"/>
      <c r="AV9" s="281"/>
      <c r="AW9" s="281"/>
      <c r="AX9" s="281"/>
      <c r="AY9" s="259"/>
      <c r="AZ9" s="259"/>
      <c r="BA9" s="259"/>
      <c r="BB9" s="259"/>
      <c r="BC9" s="259"/>
      <c r="BD9" s="230"/>
      <c r="BE9" s="231"/>
      <c r="BF9" s="231"/>
      <c r="BG9" s="231"/>
      <c r="BH9" s="230"/>
      <c r="BI9" s="231"/>
      <c r="BJ9" s="231"/>
      <c r="BK9" s="231"/>
      <c r="BL9" s="231"/>
      <c r="BM9" s="231"/>
      <c r="BN9" s="231"/>
      <c r="BO9" s="231"/>
      <c r="BP9" s="228"/>
      <c r="BQ9" s="231"/>
      <c r="BR9" s="230"/>
      <c r="BS9" s="230"/>
      <c r="BT9" s="230"/>
      <c r="BU9" s="231"/>
      <c r="BV9" s="231"/>
      <c r="BW9" s="231"/>
      <c r="BX9" s="231"/>
      <c r="BY9" s="231"/>
      <c r="BZ9" s="230"/>
      <c r="CA9" s="230"/>
      <c r="CB9" s="230"/>
      <c r="CC9" s="230"/>
      <c r="CD9" s="230"/>
      <c r="CE9" s="230"/>
      <c r="CF9" s="230"/>
      <c r="CG9" s="230"/>
      <c r="CH9" s="230"/>
      <c r="CI9" s="230"/>
      <c r="CJ9" s="230"/>
      <c r="CK9" s="230"/>
      <c r="CL9" s="230"/>
      <c r="CM9" s="230"/>
      <c r="CN9" s="230"/>
      <c r="CO9" s="230"/>
      <c r="CP9" s="230"/>
      <c r="CQ9" s="230"/>
      <c r="CR9" s="230"/>
      <c r="CS9" s="230"/>
      <c r="CT9" s="230"/>
      <c r="CU9" s="230"/>
      <c r="CV9" s="230"/>
      <c r="CW9" s="230"/>
      <c r="CX9" s="230"/>
    </row>
    <row r="10" spans="1:102" x14ac:dyDescent="0.2">
      <c r="A10" s="432" t="s">
        <v>938</v>
      </c>
      <c r="B10" s="432"/>
      <c r="C10" s="432"/>
      <c r="D10" s="432"/>
      <c r="E10" s="432"/>
      <c r="F10" s="432"/>
      <c r="G10" s="432"/>
      <c r="H10" s="432"/>
      <c r="I10" s="432"/>
      <c r="J10" s="432"/>
      <c r="K10" s="432"/>
      <c r="L10" s="432"/>
      <c r="M10" s="432"/>
      <c r="N10" s="432"/>
      <c r="O10" s="432"/>
      <c r="P10" s="432"/>
      <c r="Q10" s="432"/>
      <c r="R10" s="432"/>
      <c r="S10" s="432"/>
      <c r="T10" s="432"/>
      <c r="U10" s="432"/>
      <c r="V10" s="432"/>
      <c r="W10" s="432"/>
      <c r="X10" s="432"/>
      <c r="Y10" s="432"/>
      <c r="Z10" s="432"/>
      <c r="AA10" s="432"/>
      <c r="AB10" s="432"/>
      <c r="AC10" s="432"/>
      <c r="AD10" s="432"/>
      <c r="AE10" s="432"/>
      <c r="AF10" s="432"/>
      <c r="AG10" s="432"/>
      <c r="AH10" s="432"/>
      <c r="AI10" s="432"/>
      <c r="AJ10" s="432"/>
      <c r="AK10" s="432"/>
      <c r="AL10" s="432"/>
      <c r="AM10" s="432"/>
      <c r="AN10" s="432"/>
      <c r="AO10" s="432"/>
      <c r="AP10" s="432"/>
      <c r="AQ10" s="432"/>
      <c r="AR10" s="432"/>
      <c r="AS10" s="432"/>
      <c r="AT10" s="432"/>
      <c r="AU10" s="432"/>
      <c r="AV10" s="432"/>
      <c r="AW10" s="432"/>
      <c r="AX10" s="432"/>
      <c r="AY10" s="432"/>
      <c r="AZ10" s="432"/>
      <c r="BA10" s="432"/>
      <c r="BB10" s="432"/>
      <c r="BC10" s="432"/>
      <c r="BD10" s="224"/>
      <c r="BE10" s="224"/>
      <c r="BF10" s="224"/>
      <c r="BG10" s="224"/>
      <c r="BH10" s="224"/>
      <c r="BI10" s="224"/>
      <c r="BJ10" s="224"/>
      <c r="BK10" s="224"/>
      <c r="BL10" s="224"/>
      <c r="BM10" s="224"/>
      <c r="BN10" s="224"/>
      <c r="BO10" s="224"/>
      <c r="BP10" s="224"/>
      <c r="BQ10" s="224"/>
      <c r="BR10" s="224"/>
      <c r="BS10" s="224"/>
      <c r="BT10" s="224"/>
      <c r="BU10" s="224"/>
      <c r="BV10" s="224"/>
      <c r="BW10" s="224"/>
      <c r="BX10" s="224"/>
      <c r="BY10" s="224"/>
      <c r="BZ10" s="224"/>
      <c r="CA10" s="224"/>
      <c r="CB10" s="224"/>
      <c r="CC10" s="224"/>
      <c r="CD10" s="224"/>
      <c r="CE10" s="224"/>
      <c r="CF10" s="224"/>
      <c r="CG10" s="224"/>
      <c r="CH10" s="224"/>
      <c r="CI10" s="224"/>
      <c r="CJ10" s="224"/>
      <c r="CK10" s="224"/>
      <c r="CL10" s="224"/>
      <c r="CM10" s="224"/>
      <c r="CN10" s="224"/>
      <c r="CO10" s="224"/>
      <c r="CP10" s="224"/>
      <c r="CQ10" s="224"/>
      <c r="CR10" s="224"/>
      <c r="CS10" s="224"/>
      <c r="CT10" s="224"/>
      <c r="CU10" s="224"/>
      <c r="CV10" s="230"/>
      <c r="CW10" s="230"/>
      <c r="CX10" s="230"/>
    </row>
    <row r="11" spans="1:102" x14ac:dyDescent="0.2">
      <c r="A11" s="260"/>
      <c r="B11" s="260"/>
      <c r="C11" s="260"/>
      <c r="D11" s="260"/>
      <c r="E11" s="260"/>
      <c r="F11" s="260"/>
      <c r="G11" s="260"/>
      <c r="H11" s="260"/>
      <c r="I11" s="260"/>
      <c r="J11" s="297"/>
      <c r="K11" s="297"/>
      <c r="L11" s="297"/>
      <c r="M11" s="297"/>
      <c r="N11" s="297"/>
      <c r="O11" s="282"/>
      <c r="P11" s="282"/>
      <c r="Q11" s="282"/>
      <c r="R11" s="282"/>
      <c r="S11" s="282"/>
      <c r="T11" s="260"/>
      <c r="U11" s="260"/>
      <c r="V11" s="260"/>
      <c r="W11" s="260"/>
      <c r="X11" s="260"/>
      <c r="Y11" s="260"/>
      <c r="Z11" s="260"/>
      <c r="AA11" s="260"/>
      <c r="AB11" s="260"/>
      <c r="AC11" s="260"/>
      <c r="AD11" s="260"/>
      <c r="AE11" s="260"/>
      <c r="AF11" s="260"/>
      <c r="AG11" s="260"/>
      <c r="AH11" s="260"/>
      <c r="AI11" s="260"/>
      <c r="AJ11" s="297"/>
      <c r="AK11" s="297"/>
      <c r="AL11" s="297"/>
      <c r="AM11" s="297"/>
      <c r="AN11" s="297"/>
      <c r="AO11" s="277"/>
      <c r="AP11" s="277"/>
      <c r="AQ11" s="277"/>
      <c r="AR11" s="277"/>
      <c r="AS11" s="277"/>
      <c r="AT11" s="282"/>
      <c r="AU11" s="282"/>
      <c r="AV11" s="282"/>
      <c r="AW11" s="282"/>
      <c r="AX11" s="282"/>
      <c r="AY11" s="260"/>
      <c r="AZ11" s="260"/>
      <c r="BA11" s="260"/>
      <c r="BB11" s="260"/>
      <c r="BC11" s="260"/>
      <c r="BD11" s="225"/>
      <c r="BE11" s="225"/>
      <c r="BF11" s="225"/>
      <c r="BG11" s="225"/>
      <c r="BH11" s="225"/>
      <c r="BI11" s="225"/>
      <c r="BJ11" s="225"/>
      <c r="BK11" s="225"/>
      <c r="BL11" s="225"/>
      <c r="BM11" s="225"/>
      <c r="BN11" s="225"/>
      <c r="BO11" s="225"/>
      <c r="BP11" s="225"/>
      <c r="BQ11" s="225"/>
      <c r="BR11" s="224"/>
      <c r="BS11" s="224"/>
      <c r="BT11" s="224"/>
      <c r="BU11" s="224"/>
      <c r="BV11" s="224"/>
      <c r="BW11" s="224"/>
      <c r="BX11" s="224"/>
      <c r="BY11" s="224"/>
      <c r="BZ11" s="224"/>
      <c r="CA11" s="224"/>
      <c r="CB11" s="224"/>
      <c r="CC11" s="224"/>
      <c r="CD11" s="224"/>
      <c r="CE11" s="224"/>
      <c r="CF11" s="224"/>
      <c r="CG11" s="224"/>
      <c r="CH11" s="224"/>
      <c r="CI11" s="224"/>
      <c r="CJ11" s="224"/>
      <c r="CK11" s="224"/>
      <c r="CL11" s="224"/>
      <c r="CM11" s="224"/>
      <c r="CN11" s="224"/>
      <c r="CO11" s="224"/>
      <c r="CP11" s="224"/>
      <c r="CQ11" s="224"/>
      <c r="CR11" s="224"/>
      <c r="CS11" s="224"/>
      <c r="CT11" s="224"/>
      <c r="CU11" s="224"/>
      <c r="CV11" s="230"/>
      <c r="CW11" s="230"/>
      <c r="CX11" s="230"/>
    </row>
    <row r="12" spans="1:102" x14ac:dyDescent="0.2">
      <c r="A12" s="435" t="s">
        <v>888</v>
      </c>
      <c r="B12" s="435"/>
      <c r="C12" s="435"/>
      <c r="D12" s="435"/>
      <c r="E12" s="435"/>
      <c r="F12" s="435"/>
      <c r="G12" s="435"/>
      <c r="H12" s="435"/>
      <c r="I12" s="435"/>
      <c r="J12" s="435"/>
      <c r="K12" s="435"/>
      <c r="L12" s="435"/>
      <c r="M12" s="435"/>
      <c r="N12" s="435"/>
      <c r="O12" s="435"/>
      <c r="P12" s="435"/>
      <c r="Q12" s="435"/>
      <c r="R12" s="435"/>
      <c r="S12" s="435"/>
      <c r="T12" s="435"/>
      <c r="U12" s="435"/>
      <c r="V12" s="435"/>
      <c r="W12" s="435"/>
      <c r="X12" s="435"/>
      <c r="Y12" s="435"/>
      <c r="Z12" s="435"/>
      <c r="AA12" s="435"/>
      <c r="AB12" s="435"/>
      <c r="AC12" s="435"/>
      <c r="AD12" s="435"/>
      <c r="AE12" s="435"/>
      <c r="AF12" s="435"/>
      <c r="AG12" s="435"/>
      <c r="AH12" s="435"/>
      <c r="AI12" s="435"/>
      <c r="AJ12" s="435"/>
      <c r="AK12" s="435"/>
      <c r="AL12" s="435"/>
      <c r="AM12" s="435"/>
      <c r="AN12" s="435"/>
      <c r="AO12" s="435"/>
      <c r="AP12" s="435"/>
      <c r="AQ12" s="435"/>
      <c r="AR12" s="435"/>
      <c r="AS12" s="435"/>
      <c r="AT12" s="435"/>
      <c r="AU12" s="435"/>
      <c r="AV12" s="435"/>
      <c r="AW12" s="435"/>
      <c r="AX12" s="435"/>
      <c r="AY12" s="435"/>
      <c r="AZ12" s="435"/>
      <c r="BA12" s="435"/>
      <c r="BB12" s="435"/>
      <c r="BC12" s="435"/>
      <c r="BD12" s="224"/>
      <c r="BE12" s="224"/>
      <c r="BF12" s="224"/>
      <c r="BG12" s="224"/>
      <c r="BH12" s="224"/>
      <c r="BI12" s="224"/>
      <c r="BJ12" s="224"/>
      <c r="BK12" s="224"/>
      <c r="BL12" s="224"/>
      <c r="BM12" s="224"/>
      <c r="BN12" s="224"/>
      <c r="BO12" s="224"/>
      <c r="BP12" s="224"/>
      <c r="BQ12" s="224"/>
      <c r="BR12" s="224"/>
      <c r="BS12" s="224"/>
      <c r="BT12" s="224"/>
      <c r="BU12" s="224"/>
      <c r="BV12" s="224"/>
      <c r="BW12" s="224"/>
      <c r="BX12" s="224"/>
      <c r="BY12" s="224"/>
      <c r="BZ12" s="224"/>
      <c r="CA12" s="224"/>
      <c r="CB12" s="224"/>
      <c r="CC12" s="224"/>
      <c r="CD12" s="224"/>
      <c r="CE12" s="224"/>
      <c r="CF12" s="224"/>
      <c r="CG12" s="224"/>
      <c r="CH12" s="224"/>
      <c r="CI12" s="224"/>
      <c r="CJ12" s="224"/>
      <c r="CK12" s="224"/>
      <c r="CL12" s="224"/>
      <c r="CM12" s="224"/>
      <c r="CN12" s="224"/>
      <c r="CO12" s="224"/>
      <c r="CP12" s="224"/>
      <c r="CQ12" s="224"/>
      <c r="CR12" s="224"/>
      <c r="CS12" s="224"/>
      <c r="CT12" s="224"/>
      <c r="CU12" s="224"/>
      <c r="CV12" s="224"/>
      <c r="CW12" s="224"/>
      <c r="CX12" s="224"/>
    </row>
    <row r="13" spans="1:102" x14ac:dyDescent="0.2">
      <c r="A13" s="435" t="s">
        <v>931</v>
      </c>
      <c r="B13" s="435"/>
      <c r="C13" s="435"/>
      <c r="D13" s="435"/>
      <c r="E13" s="435"/>
      <c r="F13" s="435"/>
      <c r="G13" s="435"/>
      <c r="H13" s="435"/>
      <c r="I13" s="435"/>
      <c r="J13" s="435"/>
      <c r="K13" s="435"/>
      <c r="L13" s="435"/>
      <c r="M13" s="435"/>
      <c r="N13" s="435"/>
      <c r="O13" s="435"/>
      <c r="P13" s="435"/>
      <c r="Q13" s="435"/>
      <c r="R13" s="435"/>
      <c r="S13" s="435"/>
      <c r="T13" s="435"/>
      <c r="U13" s="435"/>
      <c r="V13" s="435"/>
      <c r="W13" s="435"/>
      <c r="X13" s="435"/>
      <c r="Y13" s="435"/>
      <c r="Z13" s="435"/>
      <c r="AA13" s="435"/>
      <c r="AB13" s="435"/>
      <c r="AC13" s="435"/>
      <c r="AD13" s="435"/>
      <c r="AE13" s="435"/>
      <c r="AF13" s="435"/>
      <c r="AG13" s="435"/>
      <c r="AH13" s="435"/>
      <c r="AI13" s="435"/>
      <c r="AJ13" s="435"/>
      <c r="AK13" s="435"/>
      <c r="AL13" s="435"/>
      <c r="AM13" s="435"/>
      <c r="AN13" s="435"/>
      <c r="AO13" s="435"/>
      <c r="AP13" s="435"/>
      <c r="AQ13" s="435"/>
      <c r="AR13" s="435"/>
      <c r="AS13" s="435"/>
      <c r="AT13" s="435"/>
      <c r="AU13" s="435"/>
      <c r="AV13" s="435"/>
      <c r="AW13" s="435"/>
      <c r="AX13" s="435"/>
      <c r="AY13" s="435"/>
      <c r="AZ13" s="435"/>
      <c r="BA13" s="435"/>
      <c r="BB13" s="435"/>
      <c r="BC13" s="435"/>
      <c r="BD13" s="224"/>
      <c r="BE13" s="224"/>
      <c r="BF13" s="224"/>
      <c r="BG13" s="224"/>
      <c r="BH13" s="224"/>
      <c r="BI13" s="224"/>
      <c r="BJ13" s="224"/>
      <c r="BK13" s="224"/>
      <c r="BL13" s="224"/>
      <c r="BM13" s="224"/>
      <c r="BN13" s="224"/>
      <c r="BO13" s="224"/>
      <c r="BP13" s="224"/>
      <c r="BQ13" s="224"/>
      <c r="BR13" s="224"/>
      <c r="BS13" s="224"/>
      <c r="BT13" s="224"/>
      <c r="BU13" s="224"/>
      <c r="BV13" s="224"/>
      <c r="BW13" s="224"/>
      <c r="BX13" s="224"/>
      <c r="BY13" s="224"/>
      <c r="BZ13" s="224"/>
      <c r="CA13" s="224"/>
      <c r="CB13" s="224"/>
      <c r="CC13" s="224"/>
      <c r="CD13" s="224"/>
      <c r="CE13" s="224"/>
      <c r="CF13" s="224"/>
      <c r="CG13" s="224"/>
      <c r="CH13" s="224"/>
      <c r="CI13" s="224"/>
      <c r="CJ13" s="224"/>
      <c r="CK13" s="224"/>
      <c r="CL13" s="224"/>
      <c r="CM13" s="224"/>
      <c r="CN13" s="224"/>
      <c r="CO13" s="224"/>
      <c r="CP13" s="224"/>
      <c r="CQ13" s="224"/>
      <c r="CR13" s="224"/>
      <c r="CS13" s="224"/>
      <c r="CT13" s="224"/>
      <c r="CU13" s="224"/>
      <c r="CV13" s="224"/>
      <c r="CW13" s="224"/>
      <c r="CX13" s="224"/>
    </row>
    <row r="14" spans="1:102" x14ac:dyDescent="0.2">
      <c r="A14" s="441"/>
      <c r="B14" s="441"/>
      <c r="C14" s="441"/>
      <c r="D14" s="441"/>
      <c r="E14" s="441"/>
      <c r="F14" s="441"/>
      <c r="G14" s="441"/>
      <c r="H14" s="441"/>
      <c r="I14" s="441"/>
      <c r="J14" s="441"/>
      <c r="K14" s="441"/>
      <c r="L14" s="441"/>
      <c r="M14" s="441"/>
      <c r="N14" s="441"/>
      <c r="O14" s="441"/>
      <c r="P14" s="441"/>
      <c r="Q14" s="441"/>
      <c r="R14" s="441"/>
      <c r="S14" s="441"/>
      <c r="T14" s="441"/>
      <c r="U14" s="441"/>
      <c r="V14" s="441"/>
      <c r="W14" s="441"/>
      <c r="X14" s="441"/>
      <c r="Y14" s="441"/>
      <c r="Z14" s="441"/>
      <c r="AA14" s="441"/>
      <c r="AB14" s="441"/>
      <c r="AC14" s="441"/>
      <c r="AD14" s="441"/>
      <c r="AE14" s="441"/>
      <c r="AF14" s="441"/>
      <c r="AG14" s="441"/>
      <c r="AH14" s="441"/>
      <c r="AI14" s="441"/>
      <c r="AJ14" s="441"/>
      <c r="AK14" s="441"/>
      <c r="AL14" s="441"/>
      <c r="AM14" s="441"/>
      <c r="AN14" s="441"/>
      <c r="AO14" s="441"/>
      <c r="AP14" s="441"/>
      <c r="AQ14" s="441"/>
      <c r="AR14" s="441"/>
      <c r="AS14" s="441"/>
      <c r="AT14" s="441"/>
      <c r="AU14" s="441"/>
      <c r="AV14" s="441"/>
      <c r="AW14" s="441"/>
      <c r="AX14" s="441"/>
      <c r="AY14" s="441"/>
      <c r="AZ14" s="441"/>
      <c r="BA14" s="441"/>
      <c r="BB14" s="441"/>
      <c r="BC14" s="441"/>
    </row>
    <row r="15" spans="1:102" ht="51.75" customHeight="1" x14ac:dyDescent="0.2">
      <c r="A15" s="442" t="s">
        <v>66</v>
      </c>
      <c r="B15" s="440" t="s">
        <v>20</v>
      </c>
      <c r="C15" s="428" t="s">
        <v>5</v>
      </c>
      <c r="D15" s="440" t="s">
        <v>939</v>
      </c>
      <c r="E15" s="440"/>
      <c r="F15" s="440"/>
      <c r="G15" s="440"/>
      <c r="H15" s="440"/>
      <c r="I15" s="440"/>
      <c r="J15" s="440"/>
      <c r="K15" s="440"/>
      <c r="L15" s="440"/>
      <c r="M15" s="440"/>
      <c r="N15" s="440"/>
      <c r="O15" s="440"/>
      <c r="P15" s="440"/>
      <c r="Q15" s="440"/>
      <c r="R15" s="440"/>
      <c r="S15" s="440"/>
      <c r="T15" s="440"/>
      <c r="U15" s="440"/>
      <c r="V15" s="440"/>
      <c r="W15" s="440"/>
      <c r="X15" s="440"/>
      <c r="Y15" s="440"/>
      <c r="Z15" s="440"/>
      <c r="AA15" s="440"/>
      <c r="AB15" s="440"/>
      <c r="AC15" s="440"/>
      <c r="AD15" s="440" t="s">
        <v>940</v>
      </c>
      <c r="AE15" s="440"/>
      <c r="AF15" s="440"/>
      <c r="AG15" s="440"/>
      <c r="AH15" s="440"/>
      <c r="AI15" s="440"/>
      <c r="AJ15" s="440"/>
      <c r="AK15" s="440"/>
      <c r="AL15" s="440"/>
      <c r="AM15" s="440"/>
      <c r="AN15" s="440"/>
      <c r="AO15" s="440"/>
      <c r="AP15" s="440"/>
      <c r="AQ15" s="440"/>
      <c r="AR15" s="440"/>
      <c r="AS15" s="440"/>
      <c r="AT15" s="440"/>
      <c r="AU15" s="440"/>
      <c r="AV15" s="440"/>
      <c r="AW15" s="440"/>
      <c r="AX15" s="440"/>
      <c r="AY15" s="440"/>
      <c r="AZ15" s="440"/>
      <c r="BA15" s="440"/>
      <c r="BB15" s="440"/>
      <c r="BC15" s="440"/>
    </row>
    <row r="16" spans="1:102" ht="51.75" customHeight="1" x14ac:dyDescent="0.2">
      <c r="A16" s="442"/>
      <c r="B16" s="440"/>
      <c r="C16" s="443"/>
      <c r="D16" s="223" t="s">
        <v>9</v>
      </c>
      <c r="E16" s="444" t="s">
        <v>10</v>
      </c>
      <c r="F16" s="445"/>
      <c r="G16" s="445"/>
      <c r="H16" s="445"/>
      <c r="I16" s="445"/>
      <c r="J16" s="445"/>
      <c r="K16" s="445"/>
      <c r="L16" s="445"/>
      <c r="M16" s="445"/>
      <c r="N16" s="445"/>
      <c r="O16" s="445"/>
      <c r="P16" s="445"/>
      <c r="Q16" s="445"/>
      <c r="R16" s="445"/>
      <c r="S16" s="445"/>
      <c r="T16" s="445"/>
      <c r="U16" s="445"/>
      <c r="V16" s="445"/>
      <c r="W16" s="445"/>
      <c r="X16" s="445"/>
      <c r="Y16" s="445"/>
      <c r="Z16" s="445"/>
      <c r="AA16" s="445"/>
      <c r="AB16" s="445"/>
      <c r="AC16" s="446"/>
      <c r="AD16" s="223" t="s">
        <v>9</v>
      </c>
      <c r="AE16" s="444" t="s">
        <v>10</v>
      </c>
      <c r="AF16" s="445"/>
      <c r="AG16" s="445"/>
      <c r="AH16" s="445"/>
      <c r="AI16" s="445"/>
      <c r="AJ16" s="445"/>
      <c r="AK16" s="445"/>
      <c r="AL16" s="445"/>
      <c r="AM16" s="445"/>
      <c r="AN16" s="445"/>
      <c r="AO16" s="445"/>
      <c r="AP16" s="445"/>
      <c r="AQ16" s="445"/>
      <c r="AR16" s="445"/>
      <c r="AS16" s="445"/>
      <c r="AT16" s="445"/>
      <c r="AU16" s="445"/>
      <c r="AV16" s="445"/>
      <c r="AW16" s="445"/>
      <c r="AX16" s="445"/>
      <c r="AY16" s="445"/>
      <c r="AZ16" s="445"/>
      <c r="BA16" s="445"/>
      <c r="BB16" s="445"/>
      <c r="BC16" s="446"/>
    </row>
    <row r="17" spans="1:55" ht="22.5" customHeight="1" x14ac:dyDescent="0.2">
      <c r="A17" s="442"/>
      <c r="B17" s="440"/>
      <c r="C17" s="443"/>
      <c r="D17" s="428" t="s">
        <v>14</v>
      </c>
      <c r="E17" s="444" t="s">
        <v>14</v>
      </c>
      <c r="F17" s="445"/>
      <c r="G17" s="445"/>
      <c r="H17" s="445"/>
      <c r="I17" s="446"/>
      <c r="J17" s="430" t="s">
        <v>74</v>
      </c>
      <c r="K17" s="430"/>
      <c r="L17" s="430"/>
      <c r="M17" s="430"/>
      <c r="N17" s="430"/>
      <c r="O17" s="426" t="s">
        <v>75</v>
      </c>
      <c r="P17" s="426"/>
      <c r="Q17" s="426"/>
      <c r="R17" s="426"/>
      <c r="S17" s="426"/>
      <c r="T17" s="431" t="s">
        <v>77</v>
      </c>
      <c r="U17" s="431"/>
      <c r="V17" s="431"/>
      <c r="W17" s="431"/>
      <c r="X17" s="431"/>
      <c r="Y17" s="427" t="s">
        <v>76</v>
      </c>
      <c r="Z17" s="427"/>
      <c r="AA17" s="427"/>
      <c r="AB17" s="427"/>
      <c r="AC17" s="427"/>
      <c r="AD17" s="428" t="s">
        <v>14</v>
      </c>
      <c r="AE17" s="444" t="s">
        <v>14</v>
      </c>
      <c r="AF17" s="445"/>
      <c r="AG17" s="445"/>
      <c r="AH17" s="445"/>
      <c r="AI17" s="446"/>
      <c r="AJ17" s="430" t="s">
        <v>74</v>
      </c>
      <c r="AK17" s="430"/>
      <c r="AL17" s="430"/>
      <c r="AM17" s="430"/>
      <c r="AN17" s="430"/>
      <c r="AO17" s="447" t="s">
        <v>75</v>
      </c>
      <c r="AP17" s="447"/>
      <c r="AQ17" s="447"/>
      <c r="AR17" s="447"/>
      <c r="AS17" s="447"/>
      <c r="AT17" s="426" t="s">
        <v>77</v>
      </c>
      <c r="AU17" s="426"/>
      <c r="AV17" s="426"/>
      <c r="AW17" s="426"/>
      <c r="AX17" s="426"/>
      <c r="AY17" s="427" t="s">
        <v>76</v>
      </c>
      <c r="AZ17" s="427"/>
      <c r="BA17" s="427"/>
      <c r="BB17" s="427"/>
      <c r="BC17" s="427"/>
    </row>
    <row r="18" spans="1:55" ht="194.25" customHeight="1" x14ac:dyDescent="0.2">
      <c r="A18" s="442"/>
      <c r="B18" s="440"/>
      <c r="C18" s="429"/>
      <c r="D18" s="429"/>
      <c r="E18" s="233" t="s">
        <v>867</v>
      </c>
      <c r="F18" s="233" t="s">
        <v>109</v>
      </c>
      <c r="G18" s="233" t="s">
        <v>110</v>
      </c>
      <c r="H18" s="233" t="s">
        <v>24</v>
      </c>
      <c r="I18" s="233" t="s">
        <v>111</v>
      </c>
      <c r="J18" s="252" t="s">
        <v>867</v>
      </c>
      <c r="K18" s="252" t="s">
        <v>109</v>
      </c>
      <c r="L18" s="252" t="s">
        <v>110</v>
      </c>
      <c r="M18" s="252" t="s">
        <v>24</v>
      </c>
      <c r="N18" s="252" t="s">
        <v>111</v>
      </c>
      <c r="O18" s="248" t="s">
        <v>867</v>
      </c>
      <c r="P18" s="248" t="s">
        <v>109</v>
      </c>
      <c r="Q18" s="248" t="s">
        <v>110</v>
      </c>
      <c r="R18" s="248" t="s">
        <v>24</v>
      </c>
      <c r="S18" s="248" t="s">
        <v>111</v>
      </c>
      <c r="T18" s="233" t="s">
        <v>867</v>
      </c>
      <c r="U18" s="233" t="s">
        <v>109</v>
      </c>
      <c r="V18" s="233" t="s">
        <v>110</v>
      </c>
      <c r="W18" s="233" t="s">
        <v>24</v>
      </c>
      <c r="X18" s="233" t="s">
        <v>111</v>
      </c>
      <c r="Y18" s="233" t="s">
        <v>867</v>
      </c>
      <c r="Z18" s="233" t="s">
        <v>109</v>
      </c>
      <c r="AA18" s="233" t="s">
        <v>110</v>
      </c>
      <c r="AB18" s="233" t="s">
        <v>24</v>
      </c>
      <c r="AC18" s="233" t="s">
        <v>111</v>
      </c>
      <c r="AD18" s="429"/>
      <c r="AE18" s="233" t="s">
        <v>867</v>
      </c>
      <c r="AF18" s="233" t="s">
        <v>109</v>
      </c>
      <c r="AG18" s="233" t="s">
        <v>110</v>
      </c>
      <c r="AH18" s="233" t="s">
        <v>24</v>
      </c>
      <c r="AI18" s="233" t="s">
        <v>111</v>
      </c>
      <c r="AJ18" s="252" t="s">
        <v>867</v>
      </c>
      <c r="AK18" s="252" t="s">
        <v>109</v>
      </c>
      <c r="AL18" s="252" t="s">
        <v>110</v>
      </c>
      <c r="AM18" s="252" t="s">
        <v>24</v>
      </c>
      <c r="AN18" s="252" t="s">
        <v>111</v>
      </c>
      <c r="AO18" s="310" t="s">
        <v>867</v>
      </c>
      <c r="AP18" s="310" t="s">
        <v>109</v>
      </c>
      <c r="AQ18" s="310" t="s">
        <v>110</v>
      </c>
      <c r="AR18" s="310" t="s">
        <v>24</v>
      </c>
      <c r="AS18" s="310" t="s">
        <v>111</v>
      </c>
      <c r="AT18" s="248" t="s">
        <v>867</v>
      </c>
      <c r="AU18" s="248" t="s">
        <v>109</v>
      </c>
      <c r="AV18" s="248" t="s">
        <v>110</v>
      </c>
      <c r="AW18" s="248" t="s">
        <v>24</v>
      </c>
      <c r="AX18" s="248" t="s">
        <v>111</v>
      </c>
      <c r="AY18" s="252" t="s">
        <v>867</v>
      </c>
      <c r="AZ18" s="233" t="s">
        <v>109</v>
      </c>
      <c r="BA18" s="233" t="s">
        <v>110</v>
      </c>
      <c r="BB18" s="233" t="s">
        <v>24</v>
      </c>
      <c r="BC18" s="233" t="s">
        <v>111</v>
      </c>
    </row>
    <row r="19" spans="1:55" s="236" customFormat="1" x14ac:dyDescent="0.2">
      <c r="A19" s="234">
        <v>1</v>
      </c>
      <c r="B19" s="235">
        <v>2</v>
      </c>
      <c r="C19" s="235">
        <f>B19+1</f>
        <v>3</v>
      </c>
      <c r="D19" s="235">
        <v>4</v>
      </c>
      <c r="E19" s="235" t="s">
        <v>79</v>
      </c>
      <c r="F19" s="235" t="s">
        <v>80</v>
      </c>
      <c r="G19" s="235" t="s">
        <v>81</v>
      </c>
      <c r="H19" s="235" t="s">
        <v>82</v>
      </c>
      <c r="I19" s="235" t="s">
        <v>83</v>
      </c>
      <c r="J19" s="253" t="s">
        <v>84</v>
      </c>
      <c r="K19" s="253" t="s">
        <v>85</v>
      </c>
      <c r="L19" s="253" t="s">
        <v>86</v>
      </c>
      <c r="M19" s="253" t="s">
        <v>87</v>
      </c>
      <c r="N19" s="253" t="s">
        <v>88</v>
      </c>
      <c r="O19" s="249" t="s">
        <v>89</v>
      </c>
      <c r="P19" s="249" t="s">
        <v>90</v>
      </c>
      <c r="Q19" s="249" t="s">
        <v>91</v>
      </c>
      <c r="R19" s="249" t="s">
        <v>92</v>
      </c>
      <c r="S19" s="249" t="s">
        <v>93</v>
      </c>
      <c r="T19" s="235" t="s">
        <v>94</v>
      </c>
      <c r="U19" s="235" t="s">
        <v>95</v>
      </c>
      <c r="V19" s="235" t="s">
        <v>96</v>
      </c>
      <c r="W19" s="235" t="s">
        <v>97</v>
      </c>
      <c r="X19" s="235" t="s">
        <v>98</v>
      </c>
      <c r="Y19" s="235" t="s">
        <v>99</v>
      </c>
      <c r="Z19" s="235" t="s">
        <v>100</v>
      </c>
      <c r="AA19" s="235" t="s">
        <v>101</v>
      </c>
      <c r="AB19" s="235" t="s">
        <v>102</v>
      </c>
      <c r="AC19" s="235" t="s">
        <v>103</v>
      </c>
      <c r="AD19" s="235">
        <v>6</v>
      </c>
      <c r="AE19" s="235" t="s">
        <v>105</v>
      </c>
      <c r="AF19" s="235" t="s">
        <v>106</v>
      </c>
      <c r="AG19" s="235" t="s">
        <v>107</v>
      </c>
      <c r="AH19" s="235" t="s">
        <v>108</v>
      </c>
      <c r="AI19" s="235" t="s">
        <v>192</v>
      </c>
      <c r="AJ19" s="253" t="s">
        <v>194</v>
      </c>
      <c r="AK19" s="253" t="s">
        <v>195</v>
      </c>
      <c r="AL19" s="253" t="s">
        <v>196</v>
      </c>
      <c r="AM19" s="253" t="s">
        <v>197</v>
      </c>
      <c r="AN19" s="253" t="s">
        <v>198</v>
      </c>
      <c r="AO19" s="311" t="s">
        <v>199</v>
      </c>
      <c r="AP19" s="311" t="s">
        <v>200</v>
      </c>
      <c r="AQ19" s="311" t="s">
        <v>201</v>
      </c>
      <c r="AR19" s="311" t="s">
        <v>202</v>
      </c>
      <c r="AS19" s="311" t="s">
        <v>203</v>
      </c>
      <c r="AT19" s="249" t="s">
        <v>204</v>
      </c>
      <c r="AU19" s="249" t="s">
        <v>205</v>
      </c>
      <c r="AV19" s="249" t="s">
        <v>206</v>
      </c>
      <c r="AW19" s="249" t="s">
        <v>207</v>
      </c>
      <c r="AX19" s="249" t="s">
        <v>208</v>
      </c>
      <c r="AY19" s="253" t="s">
        <v>209</v>
      </c>
      <c r="AZ19" s="235" t="s">
        <v>210</v>
      </c>
      <c r="BA19" s="235" t="s">
        <v>211</v>
      </c>
      <c r="BB19" s="235" t="s">
        <v>212</v>
      </c>
      <c r="BC19" s="235" t="s">
        <v>213</v>
      </c>
    </row>
    <row r="20" spans="1:55" s="236" customFormat="1" x14ac:dyDescent="0.2">
      <c r="A20" s="240" t="s">
        <v>889</v>
      </c>
      <c r="B20" s="241" t="s">
        <v>115</v>
      </c>
      <c r="C20" s="240" t="s">
        <v>890</v>
      </c>
      <c r="D20" s="242">
        <f>D22+D23</f>
        <v>44.037396000000008</v>
      </c>
      <c r="E20" s="237">
        <f>J20+O20+T20+Y20</f>
        <v>14.104600663333336</v>
      </c>
      <c r="F20" s="237">
        <f t="shared" ref="F20:I20" si="0">K20+P20+U20+Z20</f>
        <v>0</v>
      </c>
      <c r="G20" s="237">
        <f t="shared" si="0"/>
        <v>6.5529639966666684</v>
      </c>
      <c r="H20" s="237">
        <f t="shared" si="0"/>
        <v>7.2756606666666661</v>
      </c>
      <c r="I20" s="237">
        <f t="shared" si="0"/>
        <v>0.27597600000000005</v>
      </c>
      <c r="J20" s="298">
        <f>J22+J23</f>
        <v>0.90774999666666933</v>
      </c>
      <c r="K20" s="298">
        <f t="shared" ref="K20:AC20" si="1">K22+K23</f>
        <v>0</v>
      </c>
      <c r="L20" s="298">
        <f t="shared" si="1"/>
        <v>0.90774999666666933</v>
      </c>
      <c r="M20" s="298">
        <f t="shared" si="1"/>
        <v>0</v>
      </c>
      <c r="N20" s="298">
        <f t="shared" si="1"/>
        <v>0</v>
      </c>
      <c r="O20" s="283">
        <f>O22+O23</f>
        <v>13.196850666666666</v>
      </c>
      <c r="P20" s="283">
        <f t="shared" si="1"/>
        <v>0</v>
      </c>
      <c r="Q20" s="283">
        <f t="shared" si="1"/>
        <v>5.6452139999999993</v>
      </c>
      <c r="R20" s="283">
        <f t="shared" si="1"/>
        <v>7.2756606666666661</v>
      </c>
      <c r="S20" s="283">
        <f t="shared" si="1"/>
        <v>0.27597600000000005</v>
      </c>
      <c r="T20" s="242">
        <f t="shared" si="1"/>
        <v>0</v>
      </c>
      <c r="U20" s="242">
        <f t="shared" si="1"/>
        <v>0</v>
      </c>
      <c r="V20" s="242">
        <f t="shared" si="1"/>
        <v>0</v>
      </c>
      <c r="W20" s="242">
        <f t="shared" si="1"/>
        <v>0</v>
      </c>
      <c r="X20" s="242">
        <f t="shared" si="1"/>
        <v>0</v>
      </c>
      <c r="Y20" s="242">
        <f t="shared" si="1"/>
        <v>0</v>
      </c>
      <c r="Z20" s="242">
        <f t="shared" si="1"/>
        <v>0</v>
      </c>
      <c r="AA20" s="242">
        <f t="shared" si="1"/>
        <v>0</v>
      </c>
      <c r="AB20" s="242">
        <f t="shared" si="1"/>
        <v>0</v>
      </c>
      <c r="AC20" s="242">
        <f t="shared" si="1"/>
        <v>0</v>
      </c>
      <c r="AD20" s="242">
        <f>AD22+AD23</f>
        <v>36.69783000000001</v>
      </c>
      <c r="AE20" s="237">
        <f>AJ20+AO20+AT20+AY20</f>
        <v>36.738211130000003</v>
      </c>
      <c r="AF20" s="237">
        <f t="shared" ref="AF20" si="2">AK20+AP20+AU20+AZ20</f>
        <v>0</v>
      </c>
      <c r="AG20" s="237">
        <f t="shared" ref="AG20" si="3">AL20+AQ20+AV20+BA20</f>
        <v>14.334860490000001</v>
      </c>
      <c r="AH20" s="237">
        <f t="shared" ref="AH20" si="4">AM20+AR20+AW20+BB20</f>
        <v>22.342350640000003</v>
      </c>
      <c r="AI20" s="237">
        <f t="shared" ref="AI20" si="5">AN20+AS20+AX20+BC20</f>
        <v>1.6E-2</v>
      </c>
      <c r="AJ20" s="298">
        <f t="shared" ref="AJ20:BC20" si="6">AJ22+AJ23</f>
        <v>0.78756925</v>
      </c>
      <c r="AK20" s="298">
        <f t="shared" si="6"/>
        <v>0</v>
      </c>
      <c r="AL20" s="298">
        <f t="shared" si="6"/>
        <v>0.77156924999999998</v>
      </c>
      <c r="AM20" s="298">
        <f t="shared" si="6"/>
        <v>0</v>
      </c>
      <c r="AN20" s="298">
        <f t="shared" si="6"/>
        <v>1.6E-2</v>
      </c>
      <c r="AO20" s="242">
        <f t="shared" si="6"/>
        <v>19.673221160000001</v>
      </c>
      <c r="AP20" s="242">
        <f t="shared" si="6"/>
        <v>0</v>
      </c>
      <c r="AQ20" s="242">
        <f t="shared" si="6"/>
        <v>3.15671218</v>
      </c>
      <c r="AR20" s="242">
        <f t="shared" si="6"/>
        <v>16.471508980000003</v>
      </c>
      <c r="AS20" s="242">
        <f t="shared" si="6"/>
        <v>0</v>
      </c>
      <c r="AT20" s="283">
        <f t="shared" si="6"/>
        <v>12.55220581</v>
      </c>
      <c r="AU20" s="283">
        <f t="shared" si="6"/>
        <v>0</v>
      </c>
      <c r="AV20" s="283">
        <f t="shared" si="6"/>
        <v>6.9667808200000003</v>
      </c>
      <c r="AW20" s="283">
        <f t="shared" si="6"/>
        <v>5.5854249899999999</v>
      </c>
      <c r="AX20" s="283">
        <f t="shared" si="6"/>
        <v>0</v>
      </c>
      <c r="AY20" s="242">
        <f t="shared" si="6"/>
        <v>3.72521491</v>
      </c>
      <c r="AZ20" s="242">
        <f t="shared" si="6"/>
        <v>0</v>
      </c>
      <c r="BA20" s="242">
        <f t="shared" si="6"/>
        <v>3.43979824</v>
      </c>
      <c r="BB20" s="242">
        <f t="shared" si="6"/>
        <v>0.28541666999999998</v>
      </c>
      <c r="BC20" s="242">
        <f t="shared" si="6"/>
        <v>0</v>
      </c>
    </row>
    <row r="21" spans="1:55" s="236" customFormat="1" ht="12.75" customHeight="1" x14ac:dyDescent="0.2">
      <c r="A21" s="240" t="s">
        <v>891</v>
      </c>
      <c r="B21" s="241" t="s">
        <v>892</v>
      </c>
      <c r="C21" s="240"/>
      <c r="D21" s="242">
        <f>D26</f>
        <v>9.347999999999999</v>
      </c>
      <c r="E21" s="237">
        <f t="shared" ref="E21:E84" si="7">J21+O21+T21+Y21</f>
        <v>0</v>
      </c>
      <c r="F21" s="237">
        <f t="shared" ref="F21:F84" si="8">K21+P21+U21+Z21</f>
        <v>0</v>
      </c>
      <c r="G21" s="237">
        <f t="shared" ref="G21:G84" si="9">L21+Q21+V21+AA21</f>
        <v>0</v>
      </c>
      <c r="H21" s="237">
        <f t="shared" ref="H21:H84" si="10">M21+R21+W21+AB21</f>
        <v>0</v>
      </c>
      <c r="I21" s="237">
        <f t="shared" ref="I21:I84" si="11">N21+S21+X21+AC21</f>
        <v>0</v>
      </c>
      <c r="J21" s="298">
        <f>J26</f>
        <v>0</v>
      </c>
      <c r="K21" s="298">
        <f t="shared" ref="K21:AC21" si="12">K26</f>
        <v>0</v>
      </c>
      <c r="L21" s="298">
        <f t="shared" si="12"/>
        <v>0</v>
      </c>
      <c r="M21" s="298">
        <f t="shared" si="12"/>
        <v>0</v>
      </c>
      <c r="N21" s="298">
        <f t="shared" si="12"/>
        <v>0</v>
      </c>
      <c r="O21" s="283">
        <f t="shared" si="12"/>
        <v>0</v>
      </c>
      <c r="P21" s="283">
        <f t="shared" si="12"/>
        <v>0</v>
      </c>
      <c r="Q21" s="283">
        <f t="shared" si="12"/>
        <v>0</v>
      </c>
      <c r="R21" s="283">
        <f t="shared" si="12"/>
        <v>0</v>
      </c>
      <c r="S21" s="283">
        <f t="shared" si="12"/>
        <v>0</v>
      </c>
      <c r="T21" s="242">
        <f t="shared" si="12"/>
        <v>0</v>
      </c>
      <c r="U21" s="242">
        <f t="shared" si="12"/>
        <v>0</v>
      </c>
      <c r="V21" s="242">
        <f t="shared" si="12"/>
        <v>0</v>
      </c>
      <c r="W21" s="242">
        <f t="shared" si="12"/>
        <v>0</v>
      </c>
      <c r="X21" s="242">
        <f t="shared" si="12"/>
        <v>0</v>
      </c>
      <c r="Y21" s="242">
        <f t="shared" si="12"/>
        <v>0</v>
      </c>
      <c r="Z21" s="242">
        <f t="shared" si="12"/>
        <v>0</v>
      </c>
      <c r="AA21" s="242">
        <f t="shared" si="12"/>
        <v>0</v>
      </c>
      <c r="AB21" s="242">
        <f t="shared" si="12"/>
        <v>0</v>
      </c>
      <c r="AC21" s="242">
        <f t="shared" si="12"/>
        <v>0</v>
      </c>
      <c r="AD21" s="242">
        <f>AD26</f>
        <v>9.347999999999999</v>
      </c>
      <c r="AE21" s="237">
        <f t="shared" ref="AE21:AE84" si="13">AJ21+AO21+AT21+AY21</f>
        <v>0</v>
      </c>
      <c r="AF21" s="237">
        <f t="shared" ref="AF21:AF84" si="14">AK21+AP21+AU21+AZ21</f>
        <v>0</v>
      </c>
      <c r="AG21" s="237">
        <f t="shared" ref="AG21:AG84" si="15">AL21+AQ21+AV21+BA21</f>
        <v>0</v>
      </c>
      <c r="AH21" s="237">
        <f t="shared" ref="AH21:AH84" si="16">AM21+AR21+AW21+BB21</f>
        <v>0</v>
      </c>
      <c r="AI21" s="237">
        <f t="shared" ref="AI21:AI84" si="17">AN21+AS21+AX21+BC21</f>
        <v>0</v>
      </c>
      <c r="AJ21" s="298">
        <f t="shared" ref="AJ21:BC21" si="18">AJ26</f>
        <v>0</v>
      </c>
      <c r="AK21" s="298">
        <f t="shared" si="18"/>
        <v>0</v>
      </c>
      <c r="AL21" s="298">
        <f t="shared" si="18"/>
        <v>0</v>
      </c>
      <c r="AM21" s="298">
        <f t="shared" si="18"/>
        <v>0</v>
      </c>
      <c r="AN21" s="298">
        <f t="shared" si="18"/>
        <v>0</v>
      </c>
      <c r="AO21" s="242">
        <f t="shared" si="18"/>
        <v>0</v>
      </c>
      <c r="AP21" s="242">
        <f t="shared" si="18"/>
        <v>0</v>
      </c>
      <c r="AQ21" s="242">
        <f t="shared" si="18"/>
        <v>0</v>
      </c>
      <c r="AR21" s="242">
        <f t="shared" si="18"/>
        <v>0</v>
      </c>
      <c r="AS21" s="242">
        <f t="shared" si="18"/>
        <v>0</v>
      </c>
      <c r="AT21" s="283">
        <f t="shared" si="18"/>
        <v>0</v>
      </c>
      <c r="AU21" s="283">
        <f t="shared" si="18"/>
        <v>0</v>
      </c>
      <c r="AV21" s="283">
        <f t="shared" si="18"/>
        <v>0</v>
      </c>
      <c r="AW21" s="283">
        <f t="shared" si="18"/>
        <v>0</v>
      </c>
      <c r="AX21" s="283">
        <f t="shared" si="18"/>
        <v>0</v>
      </c>
      <c r="AY21" s="242">
        <f t="shared" si="18"/>
        <v>0</v>
      </c>
      <c r="AZ21" s="242">
        <f t="shared" si="18"/>
        <v>0</v>
      </c>
      <c r="BA21" s="242">
        <f t="shared" si="18"/>
        <v>0</v>
      </c>
      <c r="BB21" s="242">
        <f t="shared" si="18"/>
        <v>0</v>
      </c>
      <c r="BC21" s="242">
        <f t="shared" si="18"/>
        <v>0</v>
      </c>
    </row>
    <row r="22" spans="1:55" s="236" customFormat="1" ht="16.5" customHeight="1" x14ac:dyDescent="0.2">
      <c r="A22" s="240" t="s">
        <v>893</v>
      </c>
      <c r="B22" s="241" t="s">
        <v>894</v>
      </c>
      <c r="C22" s="240" t="s">
        <v>890</v>
      </c>
      <c r="D22" s="242">
        <f>D34</f>
        <v>44.037396000000008</v>
      </c>
      <c r="E22" s="237">
        <f t="shared" si="7"/>
        <v>14.104600663333336</v>
      </c>
      <c r="F22" s="237">
        <f t="shared" si="8"/>
        <v>0</v>
      </c>
      <c r="G22" s="237">
        <f t="shared" si="9"/>
        <v>6.5529639966666684</v>
      </c>
      <c r="H22" s="237">
        <f t="shared" si="10"/>
        <v>7.2756606666666661</v>
      </c>
      <c r="I22" s="237">
        <f t="shared" si="11"/>
        <v>0.27597600000000005</v>
      </c>
      <c r="J22" s="298">
        <f>J34</f>
        <v>0.90774999666666933</v>
      </c>
      <c r="K22" s="298">
        <f t="shared" ref="K22:AC22" si="19">K34</f>
        <v>0</v>
      </c>
      <c r="L22" s="298">
        <f t="shared" si="19"/>
        <v>0.90774999666666933</v>
      </c>
      <c r="M22" s="298">
        <f t="shared" si="19"/>
        <v>0</v>
      </c>
      <c r="N22" s="298">
        <f t="shared" si="19"/>
        <v>0</v>
      </c>
      <c r="O22" s="283">
        <f t="shared" si="19"/>
        <v>13.196850666666666</v>
      </c>
      <c r="P22" s="283">
        <f t="shared" si="19"/>
        <v>0</v>
      </c>
      <c r="Q22" s="283">
        <f t="shared" si="19"/>
        <v>5.6452139999999993</v>
      </c>
      <c r="R22" s="283">
        <f t="shared" si="19"/>
        <v>7.2756606666666661</v>
      </c>
      <c r="S22" s="283">
        <f t="shared" si="19"/>
        <v>0.27597600000000005</v>
      </c>
      <c r="T22" s="242">
        <f t="shared" si="19"/>
        <v>0</v>
      </c>
      <c r="U22" s="242">
        <f t="shared" si="19"/>
        <v>0</v>
      </c>
      <c r="V22" s="242">
        <f t="shared" si="19"/>
        <v>0</v>
      </c>
      <c r="W22" s="242">
        <f t="shared" si="19"/>
        <v>0</v>
      </c>
      <c r="X22" s="242">
        <f t="shared" si="19"/>
        <v>0</v>
      </c>
      <c r="Y22" s="242">
        <f t="shared" si="19"/>
        <v>0</v>
      </c>
      <c r="Z22" s="242">
        <f t="shared" si="19"/>
        <v>0</v>
      </c>
      <c r="AA22" s="242">
        <f t="shared" si="19"/>
        <v>0</v>
      </c>
      <c r="AB22" s="242">
        <f t="shared" si="19"/>
        <v>0</v>
      </c>
      <c r="AC22" s="242">
        <f t="shared" si="19"/>
        <v>0</v>
      </c>
      <c r="AD22" s="242">
        <f>AD34</f>
        <v>36.69783000000001</v>
      </c>
      <c r="AE22" s="237">
        <f t="shared" si="13"/>
        <v>36.738211130000003</v>
      </c>
      <c r="AF22" s="237">
        <f t="shared" si="14"/>
        <v>0</v>
      </c>
      <c r="AG22" s="237">
        <f t="shared" si="15"/>
        <v>14.334860490000001</v>
      </c>
      <c r="AH22" s="237">
        <f t="shared" si="16"/>
        <v>22.342350640000003</v>
      </c>
      <c r="AI22" s="237">
        <f t="shared" si="17"/>
        <v>1.6E-2</v>
      </c>
      <c r="AJ22" s="298">
        <f t="shared" ref="AJ22:BC22" si="20">AJ34</f>
        <v>0.78756925</v>
      </c>
      <c r="AK22" s="298">
        <f t="shared" si="20"/>
        <v>0</v>
      </c>
      <c r="AL22" s="298">
        <f t="shared" si="20"/>
        <v>0.77156924999999998</v>
      </c>
      <c r="AM22" s="298">
        <f t="shared" si="20"/>
        <v>0</v>
      </c>
      <c r="AN22" s="298">
        <f t="shared" si="20"/>
        <v>1.6E-2</v>
      </c>
      <c r="AO22" s="242">
        <f t="shared" si="20"/>
        <v>19.673221160000001</v>
      </c>
      <c r="AP22" s="242">
        <f t="shared" si="20"/>
        <v>0</v>
      </c>
      <c r="AQ22" s="242">
        <f t="shared" si="20"/>
        <v>3.15671218</v>
      </c>
      <c r="AR22" s="242">
        <f t="shared" si="20"/>
        <v>16.471508980000003</v>
      </c>
      <c r="AS22" s="242">
        <f t="shared" si="20"/>
        <v>0</v>
      </c>
      <c r="AT22" s="283">
        <f t="shared" si="20"/>
        <v>12.55220581</v>
      </c>
      <c r="AU22" s="283">
        <f t="shared" si="20"/>
        <v>0</v>
      </c>
      <c r="AV22" s="283">
        <f t="shared" si="20"/>
        <v>6.9667808200000003</v>
      </c>
      <c r="AW22" s="283">
        <f t="shared" si="20"/>
        <v>5.5854249899999999</v>
      </c>
      <c r="AX22" s="283">
        <f t="shared" si="20"/>
        <v>0</v>
      </c>
      <c r="AY22" s="242">
        <f t="shared" si="20"/>
        <v>3.72521491</v>
      </c>
      <c r="AZ22" s="242">
        <f t="shared" si="20"/>
        <v>0</v>
      </c>
      <c r="BA22" s="242">
        <f t="shared" si="20"/>
        <v>3.43979824</v>
      </c>
      <c r="BB22" s="242">
        <f t="shared" si="20"/>
        <v>0.28541666999999998</v>
      </c>
      <c r="BC22" s="242">
        <f t="shared" si="20"/>
        <v>0</v>
      </c>
    </row>
    <row r="23" spans="1:55" s="236" customFormat="1" ht="17.25" customHeight="1" x14ac:dyDescent="0.2">
      <c r="A23" s="240" t="s">
        <v>895</v>
      </c>
      <c r="B23" s="241" t="s">
        <v>896</v>
      </c>
      <c r="C23" s="240" t="s">
        <v>890</v>
      </c>
      <c r="D23" s="242">
        <v>0</v>
      </c>
      <c r="E23" s="237">
        <f t="shared" si="7"/>
        <v>0</v>
      </c>
      <c r="F23" s="237">
        <f t="shared" si="8"/>
        <v>0</v>
      </c>
      <c r="G23" s="237">
        <f t="shared" si="9"/>
        <v>0</v>
      </c>
      <c r="H23" s="237">
        <f t="shared" si="10"/>
        <v>0</v>
      </c>
      <c r="I23" s="237">
        <f t="shared" si="11"/>
        <v>0</v>
      </c>
      <c r="J23" s="298">
        <v>0</v>
      </c>
      <c r="K23" s="298">
        <v>0</v>
      </c>
      <c r="L23" s="298">
        <v>0</v>
      </c>
      <c r="M23" s="298">
        <v>0</v>
      </c>
      <c r="N23" s="298">
        <v>0</v>
      </c>
      <c r="O23" s="283">
        <v>0</v>
      </c>
      <c r="P23" s="283">
        <v>0</v>
      </c>
      <c r="Q23" s="283">
        <v>0</v>
      </c>
      <c r="R23" s="283">
        <v>0</v>
      </c>
      <c r="S23" s="283">
        <v>0</v>
      </c>
      <c r="T23" s="242">
        <v>0</v>
      </c>
      <c r="U23" s="242">
        <v>0</v>
      </c>
      <c r="V23" s="242">
        <v>0</v>
      </c>
      <c r="W23" s="242">
        <v>0</v>
      </c>
      <c r="X23" s="242">
        <v>0</v>
      </c>
      <c r="Y23" s="242">
        <v>0</v>
      </c>
      <c r="Z23" s="242">
        <v>0</v>
      </c>
      <c r="AA23" s="242">
        <v>0</v>
      </c>
      <c r="AB23" s="242">
        <v>0</v>
      </c>
      <c r="AC23" s="242">
        <v>0</v>
      </c>
      <c r="AD23" s="242">
        <v>0</v>
      </c>
      <c r="AE23" s="237">
        <f t="shared" si="13"/>
        <v>0</v>
      </c>
      <c r="AF23" s="237">
        <f t="shared" si="14"/>
        <v>0</v>
      </c>
      <c r="AG23" s="237">
        <f t="shared" si="15"/>
        <v>0</v>
      </c>
      <c r="AH23" s="237">
        <f t="shared" si="16"/>
        <v>0</v>
      </c>
      <c r="AI23" s="237">
        <f t="shared" si="17"/>
        <v>0</v>
      </c>
      <c r="AJ23" s="298">
        <v>0</v>
      </c>
      <c r="AK23" s="298">
        <v>0</v>
      </c>
      <c r="AL23" s="298">
        <v>0</v>
      </c>
      <c r="AM23" s="298">
        <v>0</v>
      </c>
      <c r="AN23" s="298">
        <v>0</v>
      </c>
      <c r="AO23" s="242">
        <v>0</v>
      </c>
      <c r="AP23" s="242">
        <v>0</v>
      </c>
      <c r="AQ23" s="242">
        <v>0</v>
      </c>
      <c r="AR23" s="242">
        <v>0</v>
      </c>
      <c r="AS23" s="242">
        <v>0</v>
      </c>
      <c r="AT23" s="283">
        <v>0</v>
      </c>
      <c r="AU23" s="283">
        <v>0</v>
      </c>
      <c r="AV23" s="283">
        <v>0</v>
      </c>
      <c r="AW23" s="283">
        <v>0</v>
      </c>
      <c r="AX23" s="283">
        <v>0</v>
      </c>
      <c r="AY23" s="242">
        <v>0</v>
      </c>
      <c r="AZ23" s="242">
        <v>0</v>
      </c>
      <c r="BA23" s="242">
        <v>0</v>
      </c>
      <c r="BB23" s="242">
        <v>0</v>
      </c>
      <c r="BC23" s="242">
        <v>0</v>
      </c>
    </row>
    <row r="24" spans="1:55" s="236" customFormat="1" ht="16.5" customHeight="1" x14ac:dyDescent="0.2">
      <c r="A24" s="240" t="s">
        <v>897</v>
      </c>
      <c r="B24" s="241" t="s">
        <v>898</v>
      </c>
      <c r="C24" s="240" t="s">
        <v>890</v>
      </c>
      <c r="D24" s="242">
        <v>0</v>
      </c>
      <c r="E24" s="237">
        <f t="shared" si="7"/>
        <v>0</v>
      </c>
      <c r="F24" s="237">
        <f t="shared" si="8"/>
        <v>0</v>
      </c>
      <c r="G24" s="237">
        <f t="shared" si="9"/>
        <v>0</v>
      </c>
      <c r="H24" s="237">
        <f t="shared" si="10"/>
        <v>0</v>
      </c>
      <c r="I24" s="237">
        <f t="shared" si="11"/>
        <v>0</v>
      </c>
      <c r="J24" s="298">
        <v>0</v>
      </c>
      <c r="K24" s="298">
        <v>0</v>
      </c>
      <c r="L24" s="298">
        <v>0</v>
      </c>
      <c r="M24" s="298">
        <v>0</v>
      </c>
      <c r="N24" s="298">
        <v>0</v>
      </c>
      <c r="O24" s="283">
        <v>0</v>
      </c>
      <c r="P24" s="283">
        <v>0</v>
      </c>
      <c r="Q24" s="283">
        <v>0</v>
      </c>
      <c r="R24" s="283">
        <v>0</v>
      </c>
      <c r="S24" s="283">
        <v>0</v>
      </c>
      <c r="T24" s="242">
        <v>0</v>
      </c>
      <c r="U24" s="242">
        <v>0</v>
      </c>
      <c r="V24" s="242">
        <v>0</v>
      </c>
      <c r="W24" s="242">
        <v>0</v>
      </c>
      <c r="X24" s="242">
        <v>0</v>
      </c>
      <c r="Y24" s="242">
        <v>0</v>
      </c>
      <c r="Z24" s="242">
        <v>0</v>
      </c>
      <c r="AA24" s="242">
        <v>0</v>
      </c>
      <c r="AB24" s="242">
        <v>0</v>
      </c>
      <c r="AC24" s="242">
        <v>0</v>
      </c>
      <c r="AD24" s="242">
        <v>0</v>
      </c>
      <c r="AE24" s="237">
        <f t="shared" si="13"/>
        <v>0</v>
      </c>
      <c r="AF24" s="237">
        <f t="shared" si="14"/>
        <v>0</v>
      </c>
      <c r="AG24" s="237">
        <f t="shared" si="15"/>
        <v>0</v>
      </c>
      <c r="AH24" s="237">
        <f t="shared" si="16"/>
        <v>0</v>
      </c>
      <c r="AI24" s="237">
        <f t="shared" si="17"/>
        <v>0</v>
      </c>
      <c r="AJ24" s="298">
        <v>0</v>
      </c>
      <c r="AK24" s="298">
        <v>0</v>
      </c>
      <c r="AL24" s="298">
        <v>0</v>
      </c>
      <c r="AM24" s="298">
        <v>0</v>
      </c>
      <c r="AN24" s="298">
        <v>0</v>
      </c>
      <c r="AO24" s="242">
        <v>0</v>
      </c>
      <c r="AP24" s="242">
        <v>0</v>
      </c>
      <c r="AQ24" s="242">
        <v>0</v>
      </c>
      <c r="AR24" s="242">
        <v>0</v>
      </c>
      <c r="AS24" s="242">
        <v>0</v>
      </c>
      <c r="AT24" s="283">
        <v>0</v>
      </c>
      <c r="AU24" s="283">
        <v>0</v>
      </c>
      <c r="AV24" s="283">
        <v>0</v>
      </c>
      <c r="AW24" s="283">
        <v>0</v>
      </c>
      <c r="AX24" s="283">
        <v>0</v>
      </c>
      <c r="AY24" s="242">
        <v>0</v>
      </c>
      <c r="AZ24" s="242">
        <v>0</v>
      </c>
      <c r="BA24" s="242">
        <v>0</v>
      </c>
      <c r="BB24" s="242">
        <v>0</v>
      </c>
      <c r="BC24" s="242">
        <v>0</v>
      </c>
    </row>
    <row r="25" spans="1:55" s="236" customFormat="1" ht="16.5" customHeight="1" x14ac:dyDescent="0.2">
      <c r="A25" s="240">
        <v>1</v>
      </c>
      <c r="B25" s="241" t="s">
        <v>899</v>
      </c>
      <c r="C25" s="240" t="s">
        <v>890</v>
      </c>
      <c r="D25" s="242">
        <v>0</v>
      </c>
      <c r="E25" s="237">
        <f t="shared" si="7"/>
        <v>0</v>
      </c>
      <c r="F25" s="237">
        <f t="shared" si="8"/>
        <v>0</v>
      </c>
      <c r="G25" s="237">
        <f t="shared" si="9"/>
        <v>0</v>
      </c>
      <c r="H25" s="237">
        <f t="shared" si="10"/>
        <v>0</v>
      </c>
      <c r="I25" s="237">
        <f t="shared" si="11"/>
        <v>0</v>
      </c>
      <c r="J25" s="298">
        <v>0</v>
      </c>
      <c r="K25" s="298">
        <v>0</v>
      </c>
      <c r="L25" s="298">
        <v>0</v>
      </c>
      <c r="M25" s="298">
        <v>0</v>
      </c>
      <c r="N25" s="298">
        <v>0</v>
      </c>
      <c r="O25" s="283">
        <v>0</v>
      </c>
      <c r="P25" s="283">
        <v>0</v>
      </c>
      <c r="Q25" s="283">
        <v>0</v>
      </c>
      <c r="R25" s="283">
        <v>0</v>
      </c>
      <c r="S25" s="283">
        <v>0</v>
      </c>
      <c r="T25" s="242">
        <v>0</v>
      </c>
      <c r="U25" s="242">
        <v>0</v>
      </c>
      <c r="V25" s="242">
        <v>0</v>
      </c>
      <c r="W25" s="242">
        <v>0</v>
      </c>
      <c r="X25" s="242">
        <v>0</v>
      </c>
      <c r="Y25" s="242">
        <v>0</v>
      </c>
      <c r="Z25" s="242">
        <v>0</v>
      </c>
      <c r="AA25" s="242">
        <v>0</v>
      </c>
      <c r="AB25" s="242">
        <v>0</v>
      </c>
      <c r="AC25" s="242">
        <v>0</v>
      </c>
      <c r="AD25" s="242">
        <v>0</v>
      </c>
      <c r="AE25" s="237">
        <f t="shared" si="13"/>
        <v>0</v>
      </c>
      <c r="AF25" s="237">
        <f t="shared" si="14"/>
        <v>0</v>
      </c>
      <c r="AG25" s="237">
        <f t="shared" si="15"/>
        <v>0</v>
      </c>
      <c r="AH25" s="237">
        <f t="shared" si="16"/>
        <v>0</v>
      </c>
      <c r="AI25" s="237">
        <f t="shared" si="17"/>
        <v>0</v>
      </c>
      <c r="AJ25" s="298">
        <v>0</v>
      </c>
      <c r="AK25" s="298">
        <v>0</v>
      </c>
      <c r="AL25" s="298">
        <v>0</v>
      </c>
      <c r="AM25" s="298">
        <v>0</v>
      </c>
      <c r="AN25" s="298">
        <v>0</v>
      </c>
      <c r="AO25" s="242">
        <v>0</v>
      </c>
      <c r="AP25" s="242">
        <v>0</v>
      </c>
      <c r="AQ25" s="242">
        <v>0</v>
      </c>
      <c r="AR25" s="242">
        <v>0</v>
      </c>
      <c r="AS25" s="242">
        <v>0</v>
      </c>
      <c r="AT25" s="283">
        <v>0</v>
      </c>
      <c r="AU25" s="283">
        <v>0</v>
      </c>
      <c r="AV25" s="283">
        <v>0</v>
      </c>
      <c r="AW25" s="283">
        <v>0</v>
      </c>
      <c r="AX25" s="283">
        <v>0</v>
      </c>
      <c r="AY25" s="242">
        <v>0</v>
      </c>
      <c r="AZ25" s="242">
        <v>0</v>
      </c>
      <c r="BA25" s="242">
        <v>0</v>
      </c>
      <c r="BB25" s="242">
        <v>0</v>
      </c>
      <c r="BC25" s="242">
        <v>0</v>
      </c>
    </row>
    <row r="26" spans="1:55" s="236" customFormat="1" ht="20.25" customHeight="1" x14ac:dyDescent="0.2">
      <c r="A26" s="240" t="s">
        <v>121</v>
      </c>
      <c r="B26" s="241" t="s">
        <v>900</v>
      </c>
      <c r="C26" s="240" t="s">
        <v>890</v>
      </c>
      <c r="D26" s="242">
        <f>D27</f>
        <v>9.347999999999999</v>
      </c>
      <c r="E26" s="237">
        <f t="shared" si="7"/>
        <v>0</v>
      </c>
      <c r="F26" s="237">
        <f t="shared" si="8"/>
        <v>0</v>
      </c>
      <c r="G26" s="237">
        <f t="shared" si="9"/>
        <v>0</v>
      </c>
      <c r="H26" s="237">
        <f t="shared" si="10"/>
        <v>0</v>
      </c>
      <c r="I26" s="237">
        <f t="shared" si="11"/>
        <v>0</v>
      </c>
      <c r="J26" s="298">
        <f>J27</f>
        <v>0</v>
      </c>
      <c r="K26" s="298">
        <f t="shared" ref="K26:AC26" si="21">K27</f>
        <v>0</v>
      </c>
      <c r="L26" s="298">
        <f t="shared" si="21"/>
        <v>0</v>
      </c>
      <c r="M26" s="298">
        <f t="shared" si="21"/>
        <v>0</v>
      </c>
      <c r="N26" s="298">
        <f t="shared" si="21"/>
        <v>0</v>
      </c>
      <c r="O26" s="283">
        <f t="shared" si="21"/>
        <v>0</v>
      </c>
      <c r="P26" s="283">
        <f t="shared" si="21"/>
        <v>0</v>
      </c>
      <c r="Q26" s="283">
        <f t="shared" si="21"/>
        <v>0</v>
      </c>
      <c r="R26" s="283">
        <f t="shared" si="21"/>
        <v>0</v>
      </c>
      <c r="S26" s="283">
        <f t="shared" si="21"/>
        <v>0</v>
      </c>
      <c r="T26" s="242">
        <f t="shared" si="21"/>
        <v>0</v>
      </c>
      <c r="U26" s="242">
        <f t="shared" si="21"/>
        <v>0</v>
      </c>
      <c r="V26" s="242">
        <f t="shared" si="21"/>
        <v>0</v>
      </c>
      <c r="W26" s="242">
        <f t="shared" si="21"/>
        <v>0</v>
      </c>
      <c r="X26" s="242">
        <f t="shared" si="21"/>
        <v>0</v>
      </c>
      <c r="Y26" s="242">
        <f t="shared" si="21"/>
        <v>0</v>
      </c>
      <c r="Z26" s="242">
        <f t="shared" si="21"/>
        <v>0</v>
      </c>
      <c r="AA26" s="242">
        <f t="shared" si="21"/>
        <v>0</v>
      </c>
      <c r="AB26" s="242">
        <f t="shared" si="21"/>
        <v>0</v>
      </c>
      <c r="AC26" s="242">
        <f t="shared" si="21"/>
        <v>0</v>
      </c>
      <c r="AD26" s="242">
        <f>AD27</f>
        <v>9.347999999999999</v>
      </c>
      <c r="AE26" s="237">
        <f t="shared" si="13"/>
        <v>0</v>
      </c>
      <c r="AF26" s="237">
        <f t="shared" si="14"/>
        <v>0</v>
      </c>
      <c r="AG26" s="237">
        <f t="shared" si="15"/>
        <v>0</v>
      </c>
      <c r="AH26" s="237">
        <f t="shared" si="16"/>
        <v>0</v>
      </c>
      <c r="AI26" s="237">
        <f t="shared" si="17"/>
        <v>0</v>
      </c>
      <c r="AJ26" s="298">
        <f t="shared" ref="AJ26:BC26" si="22">AJ27</f>
        <v>0</v>
      </c>
      <c r="AK26" s="298">
        <f t="shared" si="22"/>
        <v>0</v>
      </c>
      <c r="AL26" s="298">
        <f t="shared" si="22"/>
        <v>0</v>
      </c>
      <c r="AM26" s="298">
        <f t="shared" si="22"/>
        <v>0</v>
      </c>
      <c r="AN26" s="298">
        <f t="shared" si="22"/>
        <v>0</v>
      </c>
      <c r="AO26" s="242">
        <f t="shared" si="22"/>
        <v>0</v>
      </c>
      <c r="AP26" s="242">
        <f t="shared" si="22"/>
        <v>0</v>
      </c>
      <c r="AQ26" s="242">
        <f t="shared" si="22"/>
        <v>0</v>
      </c>
      <c r="AR26" s="242">
        <f t="shared" si="22"/>
        <v>0</v>
      </c>
      <c r="AS26" s="242">
        <f t="shared" si="22"/>
        <v>0</v>
      </c>
      <c r="AT26" s="283">
        <f t="shared" si="22"/>
        <v>0</v>
      </c>
      <c r="AU26" s="283">
        <f t="shared" si="22"/>
        <v>0</v>
      </c>
      <c r="AV26" s="283">
        <f t="shared" si="22"/>
        <v>0</v>
      </c>
      <c r="AW26" s="283">
        <f t="shared" si="22"/>
        <v>0</v>
      </c>
      <c r="AX26" s="283">
        <f t="shared" si="22"/>
        <v>0</v>
      </c>
      <c r="AY26" s="242">
        <f t="shared" si="22"/>
        <v>0</v>
      </c>
      <c r="AZ26" s="242">
        <f t="shared" si="22"/>
        <v>0</v>
      </c>
      <c r="BA26" s="242">
        <f t="shared" si="22"/>
        <v>0</v>
      </c>
      <c r="BB26" s="242">
        <f t="shared" si="22"/>
        <v>0</v>
      </c>
      <c r="BC26" s="242">
        <f t="shared" si="22"/>
        <v>0</v>
      </c>
    </row>
    <row r="27" spans="1:55" s="236" customFormat="1" ht="18" customHeight="1" x14ac:dyDescent="0.2">
      <c r="A27" s="240" t="s">
        <v>123</v>
      </c>
      <c r="B27" s="241" t="s">
        <v>901</v>
      </c>
      <c r="C27" s="240" t="s">
        <v>890</v>
      </c>
      <c r="D27" s="269">
        <f>D28+D30+D32</f>
        <v>9.347999999999999</v>
      </c>
      <c r="E27" s="237">
        <f t="shared" si="7"/>
        <v>0</v>
      </c>
      <c r="F27" s="237">
        <f t="shared" si="8"/>
        <v>0</v>
      </c>
      <c r="G27" s="237">
        <f t="shared" si="9"/>
        <v>0</v>
      </c>
      <c r="H27" s="237">
        <f t="shared" si="10"/>
        <v>0</v>
      </c>
      <c r="I27" s="237">
        <f t="shared" si="11"/>
        <v>0</v>
      </c>
      <c r="J27" s="299">
        <v>0</v>
      </c>
      <c r="K27" s="299">
        <v>0</v>
      </c>
      <c r="L27" s="299">
        <v>0</v>
      </c>
      <c r="M27" s="299">
        <v>0</v>
      </c>
      <c r="N27" s="299">
        <v>0</v>
      </c>
      <c r="O27" s="284">
        <v>0</v>
      </c>
      <c r="P27" s="284">
        <v>0</v>
      </c>
      <c r="Q27" s="284">
        <v>0</v>
      </c>
      <c r="R27" s="284">
        <v>0</v>
      </c>
      <c r="S27" s="284">
        <v>0</v>
      </c>
      <c r="T27" s="269">
        <v>0</v>
      </c>
      <c r="U27" s="269">
        <v>0</v>
      </c>
      <c r="V27" s="269">
        <v>0</v>
      </c>
      <c r="W27" s="269">
        <v>0</v>
      </c>
      <c r="X27" s="269">
        <v>0</v>
      </c>
      <c r="Y27" s="269">
        <v>0</v>
      </c>
      <c r="Z27" s="269">
        <v>0</v>
      </c>
      <c r="AA27" s="269">
        <v>0</v>
      </c>
      <c r="AB27" s="269">
        <v>0</v>
      </c>
      <c r="AC27" s="269">
        <v>0</v>
      </c>
      <c r="AD27" s="269">
        <f>AD28+AD30+AD32</f>
        <v>9.347999999999999</v>
      </c>
      <c r="AE27" s="237">
        <f t="shared" si="13"/>
        <v>0</v>
      </c>
      <c r="AF27" s="237">
        <f t="shared" si="14"/>
        <v>0</v>
      </c>
      <c r="AG27" s="237">
        <f t="shared" si="15"/>
        <v>0</v>
      </c>
      <c r="AH27" s="237">
        <f t="shared" si="16"/>
        <v>0</v>
      </c>
      <c r="AI27" s="237">
        <f t="shared" si="17"/>
        <v>0</v>
      </c>
      <c r="AJ27" s="299">
        <v>0</v>
      </c>
      <c r="AK27" s="299">
        <v>0</v>
      </c>
      <c r="AL27" s="299">
        <v>0</v>
      </c>
      <c r="AM27" s="299">
        <v>0</v>
      </c>
      <c r="AN27" s="299">
        <v>0</v>
      </c>
      <c r="AO27" s="269">
        <v>0</v>
      </c>
      <c r="AP27" s="269">
        <v>0</v>
      </c>
      <c r="AQ27" s="269">
        <v>0</v>
      </c>
      <c r="AR27" s="269">
        <v>0</v>
      </c>
      <c r="AS27" s="269">
        <v>0</v>
      </c>
      <c r="AT27" s="284">
        <v>0</v>
      </c>
      <c r="AU27" s="284">
        <v>0</v>
      </c>
      <c r="AV27" s="284">
        <v>0</v>
      </c>
      <c r="AW27" s="284">
        <v>0</v>
      </c>
      <c r="AX27" s="284">
        <v>0</v>
      </c>
      <c r="AY27" s="269">
        <v>0</v>
      </c>
      <c r="AZ27" s="269">
        <v>0</v>
      </c>
      <c r="BA27" s="269">
        <v>0</v>
      </c>
      <c r="BB27" s="269">
        <v>0</v>
      </c>
      <c r="BC27" s="269">
        <v>0</v>
      </c>
    </row>
    <row r="28" spans="1:55" s="236" customFormat="1" ht="27.75" customHeight="1" x14ac:dyDescent="0.2">
      <c r="A28" s="240" t="s">
        <v>124</v>
      </c>
      <c r="B28" s="241" t="s">
        <v>902</v>
      </c>
      <c r="C28" s="240" t="s">
        <v>1011</v>
      </c>
      <c r="D28" s="242">
        <v>7.8011999999999997</v>
      </c>
      <c r="E28" s="237">
        <f t="shared" si="7"/>
        <v>0</v>
      </c>
      <c r="F28" s="237">
        <f t="shared" si="8"/>
        <v>0</v>
      </c>
      <c r="G28" s="237">
        <f t="shared" si="9"/>
        <v>0</v>
      </c>
      <c r="H28" s="237">
        <f t="shared" si="10"/>
        <v>0</v>
      </c>
      <c r="I28" s="237">
        <f t="shared" si="11"/>
        <v>0</v>
      </c>
      <c r="J28" s="298">
        <v>0</v>
      </c>
      <c r="K28" s="298">
        <v>0</v>
      </c>
      <c r="L28" s="298">
        <v>0</v>
      </c>
      <c r="M28" s="298">
        <v>0</v>
      </c>
      <c r="N28" s="298">
        <v>0</v>
      </c>
      <c r="O28" s="283">
        <v>0</v>
      </c>
      <c r="P28" s="283">
        <v>0</v>
      </c>
      <c r="Q28" s="283">
        <v>0</v>
      </c>
      <c r="R28" s="283">
        <v>0</v>
      </c>
      <c r="S28" s="283">
        <v>0</v>
      </c>
      <c r="T28" s="242">
        <v>0</v>
      </c>
      <c r="U28" s="242">
        <v>0</v>
      </c>
      <c r="V28" s="242">
        <v>0</v>
      </c>
      <c r="W28" s="242">
        <v>0</v>
      </c>
      <c r="X28" s="242">
        <v>0</v>
      </c>
      <c r="Y28" s="242">
        <v>0</v>
      </c>
      <c r="Z28" s="242">
        <v>0</v>
      </c>
      <c r="AA28" s="242">
        <v>0</v>
      </c>
      <c r="AB28" s="242">
        <v>0</v>
      </c>
      <c r="AC28" s="242">
        <v>0</v>
      </c>
      <c r="AD28" s="242">
        <v>7.8011999999999997</v>
      </c>
      <c r="AE28" s="237">
        <f t="shared" si="13"/>
        <v>0</v>
      </c>
      <c r="AF28" s="237">
        <f t="shared" si="14"/>
        <v>0</v>
      </c>
      <c r="AG28" s="237">
        <f t="shared" si="15"/>
        <v>0</v>
      </c>
      <c r="AH28" s="237">
        <f t="shared" si="16"/>
        <v>0</v>
      </c>
      <c r="AI28" s="237">
        <f t="shared" si="17"/>
        <v>0</v>
      </c>
      <c r="AJ28" s="298">
        <v>0</v>
      </c>
      <c r="AK28" s="298">
        <v>0</v>
      </c>
      <c r="AL28" s="298">
        <v>0</v>
      </c>
      <c r="AM28" s="298">
        <v>0</v>
      </c>
      <c r="AN28" s="298">
        <v>0</v>
      </c>
      <c r="AO28" s="242">
        <v>0</v>
      </c>
      <c r="AP28" s="242">
        <v>0</v>
      </c>
      <c r="AQ28" s="242">
        <v>0</v>
      </c>
      <c r="AR28" s="242">
        <v>0</v>
      </c>
      <c r="AS28" s="242">
        <v>0</v>
      </c>
      <c r="AT28" s="283">
        <v>0</v>
      </c>
      <c r="AU28" s="283">
        <v>0</v>
      </c>
      <c r="AV28" s="283">
        <v>0</v>
      </c>
      <c r="AW28" s="283">
        <v>0</v>
      </c>
      <c r="AX28" s="283">
        <v>0</v>
      </c>
      <c r="AY28" s="242">
        <v>0</v>
      </c>
      <c r="AZ28" s="242">
        <v>0</v>
      </c>
      <c r="BA28" s="242">
        <v>0</v>
      </c>
      <c r="BB28" s="242">
        <v>0</v>
      </c>
      <c r="BC28" s="242">
        <v>0</v>
      </c>
    </row>
    <row r="29" spans="1:55" s="236" customFormat="1" x14ac:dyDescent="0.2">
      <c r="A29" s="240" t="s">
        <v>831</v>
      </c>
      <c r="B29" s="241" t="s">
        <v>831</v>
      </c>
      <c r="C29" s="240"/>
      <c r="D29" s="242">
        <v>0</v>
      </c>
      <c r="E29" s="237">
        <f t="shared" si="7"/>
        <v>0</v>
      </c>
      <c r="F29" s="237">
        <f t="shared" si="8"/>
        <v>0</v>
      </c>
      <c r="G29" s="237">
        <f t="shared" si="9"/>
        <v>0</v>
      </c>
      <c r="H29" s="237">
        <f t="shared" si="10"/>
        <v>0</v>
      </c>
      <c r="I29" s="237">
        <f t="shared" si="11"/>
        <v>0</v>
      </c>
      <c r="J29" s="298">
        <v>0</v>
      </c>
      <c r="K29" s="298">
        <v>0</v>
      </c>
      <c r="L29" s="298">
        <v>0</v>
      </c>
      <c r="M29" s="298">
        <v>0</v>
      </c>
      <c r="N29" s="298">
        <v>0</v>
      </c>
      <c r="O29" s="283">
        <v>0</v>
      </c>
      <c r="P29" s="283">
        <v>0</v>
      </c>
      <c r="Q29" s="283">
        <v>0</v>
      </c>
      <c r="R29" s="283">
        <v>0</v>
      </c>
      <c r="S29" s="283">
        <v>0</v>
      </c>
      <c r="T29" s="242">
        <v>0</v>
      </c>
      <c r="U29" s="242">
        <v>0</v>
      </c>
      <c r="V29" s="242">
        <v>0</v>
      </c>
      <c r="W29" s="242">
        <v>0</v>
      </c>
      <c r="X29" s="242">
        <v>0</v>
      </c>
      <c r="Y29" s="242">
        <v>0</v>
      </c>
      <c r="Z29" s="242">
        <v>0</v>
      </c>
      <c r="AA29" s="242">
        <v>0</v>
      </c>
      <c r="AB29" s="242">
        <v>0</v>
      </c>
      <c r="AC29" s="242">
        <v>0</v>
      </c>
      <c r="AD29" s="242">
        <v>0</v>
      </c>
      <c r="AE29" s="237">
        <f t="shared" si="13"/>
        <v>0</v>
      </c>
      <c r="AF29" s="237">
        <f t="shared" si="14"/>
        <v>0</v>
      </c>
      <c r="AG29" s="237">
        <f t="shared" si="15"/>
        <v>0</v>
      </c>
      <c r="AH29" s="237">
        <f t="shared" si="16"/>
        <v>0</v>
      </c>
      <c r="AI29" s="237">
        <f t="shared" si="17"/>
        <v>0</v>
      </c>
      <c r="AJ29" s="298">
        <v>0</v>
      </c>
      <c r="AK29" s="298">
        <v>0</v>
      </c>
      <c r="AL29" s="298">
        <v>0</v>
      </c>
      <c r="AM29" s="298">
        <v>0</v>
      </c>
      <c r="AN29" s="298">
        <v>0</v>
      </c>
      <c r="AO29" s="242">
        <v>0</v>
      </c>
      <c r="AP29" s="242">
        <v>0</v>
      </c>
      <c r="AQ29" s="242">
        <v>0</v>
      </c>
      <c r="AR29" s="242">
        <v>0</v>
      </c>
      <c r="AS29" s="242">
        <v>0</v>
      </c>
      <c r="AT29" s="283">
        <v>0</v>
      </c>
      <c r="AU29" s="283">
        <v>0</v>
      </c>
      <c r="AV29" s="283">
        <v>0</v>
      </c>
      <c r="AW29" s="283">
        <v>0</v>
      </c>
      <c r="AX29" s="283">
        <v>0</v>
      </c>
      <c r="AY29" s="242">
        <v>0</v>
      </c>
      <c r="AZ29" s="242">
        <v>0</v>
      </c>
      <c r="BA29" s="242">
        <v>0</v>
      </c>
      <c r="BB29" s="242">
        <v>0</v>
      </c>
      <c r="BC29" s="242">
        <v>0</v>
      </c>
    </row>
    <row r="30" spans="1:55" s="236" customFormat="1" ht="25.5" customHeight="1" x14ac:dyDescent="0.2">
      <c r="A30" s="240" t="s">
        <v>126</v>
      </c>
      <c r="B30" s="241" t="s">
        <v>903</v>
      </c>
      <c r="C30" s="240" t="s">
        <v>1012</v>
      </c>
      <c r="D30" s="242">
        <v>1.5468</v>
      </c>
      <c r="E30" s="237">
        <f t="shared" si="7"/>
        <v>0</v>
      </c>
      <c r="F30" s="237">
        <f t="shared" si="8"/>
        <v>0</v>
      </c>
      <c r="G30" s="237">
        <f t="shared" si="9"/>
        <v>0</v>
      </c>
      <c r="H30" s="237">
        <f t="shared" si="10"/>
        <v>0</v>
      </c>
      <c r="I30" s="237">
        <f t="shared" si="11"/>
        <v>0</v>
      </c>
      <c r="J30" s="298">
        <v>0</v>
      </c>
      <c r="K30" s="298">
        <v>0</v>
      </c>
      <c r="L30" s="298">
        <v>0</v>
      </c>
      <c r="M30" s="298">
        <v>0</v>
      </c>
      <c r="N30" s="298">
        <v>0</v>
      </c>
      <c r="O30" s="283">
        <v>0</v>
      </c>
      <c r="P30" s="283">
        <v>0</v>
      </c>
      <c r="Q30" s="283">
        <v>0</v>
      </c>
      <c r="R30" s="283">
        <v>0</v>
      </c>
      <c r="S30" s="283">
        <v>0</v>
      </c>
      <c r="T30" s="242">
        <v>0</v>
      </c>
      <c r="U30" s="242">
        <v>0</v>
      </c>
      <c r="V30" s="242">
        <v>0</v>
      </c>
      <c r="W30" s="242">
        <v>0</v>
      </c>
      <c r="X30" s="242">
        <v>0</v>
      </c>
      <c r="Y30" s="242">
        <v>0</v>
      </c>
      <c r="Z30" s="242">
        <v>0</v>
      </c>
      <c r="AA30" s="242">
        <v>0</v>
      </c>
      <c r="AB30" s="242">
        <v>0</v>
      </c>
      <c r="AC30" s="242">
        <v>0</v>
      </c>
      <c r="AD30" s="242">
        <v>1.5468</v>
      </c>
      <c r="AE30" s="237">
        <f t="shared" si="13"/>
        <v>0</v>
      </c>
      <c r="AF30" s="237">
        <f t="shared" si="14"/>
        <v>0</v>
      </c>
      <c r="AG30" s="237">
        <f t="shared" si="15"/>
        <v>0</v>
      </c>
      <c r="AH30" s="237">
        <f t="shared" si="16"/>
        <v>0</v>
      </c>
      <c r="AI30" s="237">
        <f t="shared" si="17"/>
        <v>0</v>
      </c>
      <c r="AJ30" s="298">
        <v>0</v>
      </c>
      <c r="AK30" s="298">
        <v>0</v>
      </c>
      <c r="AL30" s="298">
        <v>0</v>
      </c>
      <c r="AM30" s="298">
        <v>0</v>
      </c>
      <c r="AN30" s="298">
        <v>0</v>
      </c>
      <c r="AO30" s="242">
        <v>0</v>
      </c>
      <c r="AP30" s="242">
        <v>0</v>
      </c>
      <c r="AQ30" s="242">
        <v>0</v>
      </c>
      <c r="AR30" s="242">
        <v>0</v>
      </c>
      <c r="AS30" s="242">
        <v>0</v>
      </c>
      <c r="AT30" s="283">
        <v>0</v>
      </c>
      <c r="AU30" s="283">
        <v>0</v>
      </c>
      <c r="AV30" s="283">
        <v>0</v>
      </c>
      <c r="AW30" s="283">
        <v>0</v>
      </c>
      <c r="AX30" s="283">
        <v>0</v>
      </c>
      <c r="AY30" s="242">
        <v>0</v>
      </c>
      <c r="AZ30" s="242">
        <v>0</v>
      </c>
      <c r="BA30" s="242">
        <v>0</v>
      </c>
      <c r="BB30" s="242">
        <v>0</v>
      </c>
      <c r="BC30" s="242">
        <v>0</v>
      </c>
    </row>
    <row r="31" spans="1:55" s="236" customFormat="1" x14ac:dyDescent="0.2">
      <c r="A31" s="240" t="s">
        <v>831</v>
      </c>
      <c r="B31" s="241" t="s">
        <v>831</v>
      </c>
      <c r="C31" s="240"/>
      <c r="D31" s="242">
        <v>0</v>
      </c>
      <c r="E31" s="237">
        <f t="shared" si="7"/>
        <v>0</v>
      </c>
      <c r="F31" s="237">
        <f t="shared" si="8"/>
        <v>0</v>
      </c>
      <c r="G31" s="237">
        <f t="shared" si="9"/>
        <v>0</v>
      </c>
      <c r="H31" s="237">
        <f t="shared" si="10"/>
        <v>0</v>
      </c>
      <c r="I31" s="237">
        <f t="shared" si="11"/>
        <v>0</v>
      </c>
      <c r="J31" s="298">
        <v>0</v>
      </c>
      <c r="K31" s="298">
        <v>0</v>
      </c>
      <c r="L31" s="298">
        <v>0</v>
      </c>
      <c r="M31" s="298">
        <v>0</v>
      </c>
      <c r="N31" s="298">
        <v>0</v>
      </c>
      <c r="O31" s="283">
        <v>0</v>
      </c>
      <c r="P31" s="283">
        <v>0</v>
      </c>
      <c r="Q31" s="283">
        <v>0</v>
      </c>
      <c r="R31" s="283">
        <v>0</v>
      </c>
      <c r="S31" s="283">
        <v>0</v>
      </c>
      <c r="T31" s="242">
        <v>0</v>
      </c>
      <c r="U31" s="242">
        <v>0</v>
      </c>
      <c r="V31" s="242">
        <v>0</v>
      </c>
      <c r="W31" s="242">
        <v>0</v>
      </c>
      <c r="X31" s="242">
        <v>0</v>
      </c>
      <c r="Y31" s="242">
        <v>0</v>
      </c>
      <c r="Z31" s="242">
        <v>0</v>
      </c>
      <c r="AA31" s="242">
        <v>0</v>
      </c>
      <c r="AB31" s="242">
        <v>0</v>
      </c>
      <c r="AC31" s="242">
        <v>0</v>
      </c>
      <c r="AD31" s="242">
        <v>0</v>
      </c>
      <c r="AE31" s="237">
        <f t="shared" si="13"/>
        <v>0</v>
      </c>
      <c r="AF31" s="237">
        <f t="shared" si="14"/>
        <v>0</v>
      </c>
      <c r="AG31" s="237">
        <f t="shared" si="15"/>
        <v>0</v>
      </c>
      <c r="AH31" s="237">
        <f t="shared" si="16"/>
        <v>0</v>
      </c>
      <c r="AI31" s="237">
        <f t="shared" si="17"/>
        <v>0</v>
      </c>
      <c r="AJ31" s="298">
        <v>0</v>
      </c>
      <c r="AK31" s="298">
        <v>0</v>
      </c>
      <c r="AL31" s="298">
        <v>0</v>
      </c>
      <c r="AM31" s="298">
        <v>0</v>
      </c>
      <c r="AN31" s="298">
        <v>0</v>
      </c>
      <c r="AO31" s="242">
        <v>0</v>
      </c>
      <c r="AP31" s="242">
        <v>0</v>
      </c>
      <c r="AQ31" s="242">
        <v>0</v>
      </c>
      <c r="AR31" s="242">
        <v>0</v>
      </c>
      <c r="AS31" s="242">
        <v>0</v>
      </c>
      <c r="AT31" s="283">
        <v>0</v>
      </c>
      <c r="AU31" s="283">
        <v>0</v>
      </c>
      <c r="AV31" s="283">
        <v>0</v>
      </c>
      <c r="AW31" s="283">
        <v>0</v>
      </c>
      <c r="AX31" s="283">
        <v>0</v>
      </c>
      <c r="AY31" s="242">
        <v>0</v>
      </c>
      <c r="AZ31" s="242">
        <v>0</v>
      </c>
      <c r="BA31" s="242">
        <v>0</v>
      </c>
      <c r="BB31" s="242">
        <v>0</v>
      </c>
      <c r="BC31" s="242">
        <v>0</v>
      </c>
    </row>
    <row r="32" spans="1:55" s="236" customFormat="1" ht="25.5" customHeight="1" x14ac:dyDescent="0.2">
      <c r="A32" s="240" t="s">
        <v>128</v>
      </c>
      <c r="B32" s="241" t="s">
        <v>904</v>
      </c>
      <c r="C32" s="240" t="s">
        <v>1013</v>
      </c>
      <c r="D32" s="242">
        <v>0</v>
      </c>
      <c r="E32" s="237">
        <f t="shared" si="7"/>
        <v>0</v>
      </c>
      <c r="F32" s="237">
        <f t="shared" si="8"/>
        <v>0</v>
      </c>
      <c r="G32" s="237">
        <f t="shared" si="9"/>
        <v>0</v>
      </c>
      <c r="H32" s="237">
        <f t="shared" si="10"/>
        <v>0</v>
      </c>
      <c r="I32" s="237">
        <f t="shared" si="11"/>
        <v>0</v>
      </c>
      <c r="J32" s="298">
        <v>0</v>
      </c>
      <c r="K32" s="298">
        <v>0</v>
      </c>
      <c r="L32" s="298">
        <v>0</v>
      </c>
      <c r="M32" s="298">
        <v>0</v>
      </c>
      <c r="N32" s="298">
        <v>0</v>
      </c>
      <c r="O32" s="283">
        <v>0</v>
      </c>
      <c r="P32" s="283">
        <v>0</v>
      </c>
      <c r="Q32" s="283">
        <v>0</v>
      </c>
      <c r="R32" s="283">
        <v>0</v>
      </c>
      <c r="S32" s="283">
        <v>0</v>
      </c>
      <c r="T32" s="242">
        <v>0</v>
      </c>
      <c r="U32" s="242">
        <v>0</v>
      </c>
      <c r="V32" s="242">
        <v>0</v>
      </c>
      <c r="W32" s="242">
        <v>0</v>
      </c>
      <c r="X32" s="242">
        <v>0</v>
      </c>
      <c r="Y32" s="242">
        <v>0</v>
      </c>
      <c r="Z32" s="242">
        <v>0</v>
      </c>
      <c r="AA32" s="242">
        <v>0</v>
      </c>
      <c r="AB32" s="242">
        <v>0</v>
      </c>
      <c r="AC32" s="242">
        <v>0</v>
      </c>
      <c r="AD32" s="242">
        <v>0</v>
      </c>
      <c r="AE32" s="237">
        <f t="shared" si="13"/>
        <v>0</v>
      </c>
      <c r="AF32" s="237">
        <f t="shared" si="14"/>
        <v>0</v>
      </c>
      <c r="AG32" s="237">
        <f t="shared" si="15"/>
        <v>0</v>
      </c>
      <c r="AH32" s="237">
        <f t="shared" si="16"/>
        <v>0</v>
      </c>
      <c r="AI32" s="237">
        <f t="shared" si="17"/>
        <v>0</v>
      </c>
      <c r="AJ32" s="298">
        <v>0</v>
      </c>
      <c r="AK32" s="298">
        <v>0</v>
      </c>
      <c r="AL32" s="298">
        <v>0</v>
      </c>
      <c r="AM32" s="298">
        <v>0</v>
      </c>
      <c r="AN32" s="298">
        <v>0</v>
      </c>
      <c r="AO32" s="242">
        <v>0</v>
      </c>
      <c r="AP32" s="242">
        <v>0</v>
      </c>
      <c r="AQ32" s="242">
        <v>0</v>
      </c>
      <c r="AR32" s="242">
        <v>0</v>
      </c>
      <c r="AS32" s="242">
        <v>0</v>
      </c>
      <c r="AT32" s="283">
        <v>0</v>
      </c>
      <c r="AU32" s="283">
        <v>0</v>
      </c>
      <c r="AV32" s="283">
        <v>0</v>
      </c>
      <c r="AW32" s="283">
        <v>0</v>
      </c>
      <c r="AX32" s="283">
        <v>0</v>
      </c>
      <c r="AY32" s="242">
        <v>0</v>
      </c>
      <c r="AZ32" s="242">
        <v>0</v>
      </c>
      <c r="BA32" s="242">
        <v>0</v>
      </c>
      <c r="BB32" s="242">
        <v>0</v>
      </c>
      <c r="BC32" s="242">
        <v>0</v>
      </c>
    </row>
    <row r="33" spans="1:55" s="236" customFormat="1" x14ac:dyDescent="0.2">
      <c r="A33" s="240" t="s">
        <v>941</v>
      </c>
      <c r="B33" s="241" t="s">
        <v>967</v>
      </c>
      <c r="C33" s="240" t="s">
        <v>1013</v>
      </c>
      <c r="D33" s="269">
        <v>0</v>
      </c>
      <c r="E33" s="237">
        <f t="shared" si="7"/>
        <v>0</v>
      </c>
      <c r="F33" s="237">
        <f t="shared" si="8"/>
        <v>0</v>
      </c>
      <c r="G33" s="237">
        <f t="shared" si="9"/>
        <v>0</v>
      </c>
      <c r="H33" s="237">
        <f t="shared" si="10"/>
        <v>0</v>
      </c>
      <c r="I33" s="237">
        <f t="shared" si="11"/>
        <v>0</v>
      </c>
      <c r="J33" s="299">
        <v>0</v>
      </c>
      <c r="K33" s="299">
        <v>0</v>
      </c>
      <c r="L33" s="299">
        <v>0</v>
      </c>
      <c r="M33" s="299">
        <v>0</v>
      </c>
      <c r="N33" s="299">
        <v>0</v>
      </c>
      <c r="O33" s="284">
        <v>0</v>
      </c>
      <c r="P33" s="284">
        <v>0</v>
      </c>
      <c r="Q33" s="284">
        <v>0</v>
      </c>
      <c r="R33" s="284">
        <v>0</v>
      </c>
      <c r="S33" s="284">
        <v>0</v>
      </c>
      <c r="T33" s="269">
        <v>0</v>
      </c>
      <c r="U33" s="269">
        <v>0</v>
      </c>
      <c r="V33" s="269">
        <v>0</v>
      </c>
      <c r="W33" s="269">
        <v>0</v>
      </c>
      <c r="X33" s="269">
        <v>0</v>
      </c>
      <c r="Y33" s="269">
        <v>0</v>
      </c>
      <c r="Z33" s="269">
        <v>0</v>
      </c>
      <c r="AA33" s="269">
        <v>0</v>
      </c>
      <c r="AB33" s="269">
        <v>0</v>
      </c>
      <c r="AC33" s="269">
        <v>0</v>
      </c>
      <c r="AD33" s="269">
        <v>0</v>
      </c>
      <c r="AE33" s="237">
        <f t="shared" si="13"/>
        <v>0</v>
      </c>
      <c r="AF33" s="237">
        <f t="shared" si="14"/>
        <v>0</v>
      </c>
      <c r="AG33" s="237">
        <f t="shared" si="15"/>
        <v>0</v>
      </c>
      <c r="AH33" s="237">
        <f t="shared" si="16"/>
        <v>0</v>
      </c>
      <c r="AI33" s="237">
        <f t="shared" si="17"/>
        <v>0</v>
      </c>
      <c r="AJ33" s="299">
        <v>0</v>
      </c>
      <c r="AK33" s="299">
        <v>0</v>
      </c>
      <c r="AL33" s="299">
        <v>0</v>
      </c>
      <c r="AM33" s="299">
        <v>0</v>
      </c>
      <c r="AN33" s="299">
        <v>0</v>
      </c>
      <c r="AO33" s="269">
        <v>0</v>
      </c>
      <c r="AP33" s="269">
        <v>0</v>
      </c>
      <c r="AQ33" s="269">
        <v>0</v>
      </c>
      <c r="AR33" s="269">
        <v>0</v>
      </c>
      <c r="AS33" s="269">
        <v>0</v>
      </c>
      <c r="AT33" s="284">
        <v>0</v>
      </c>
      <c r="AU33" s="284">
        <v>0</v>
      </c>
      <c r="AV33" s="284">
        <v>0</v>
      </c>
      <c r="AW33" s="284">
        <v>0</v>
      </c>
      <c r="AX33" s="284">
        <v>0</v>
      </c>
      <c r="AY33" s="269">
        <v>0</v>
      </c>
      <c r="AZ33" s="269">
        <v>0</v>
      </c>
      <c r="BA33" s="269">
        <v>0</v>
      </c>
      <c r="BB33" s="269">
        <v>0</v>
      </c>
      <c r="BC33" s="269">
        <v>0</v>
      </c>
    </row>
    <row r="34" spans="1:55" s="236" customFormat="1" ht="21" customHeight="1" x14ac:dyDescent="0.2">
      <c r="A34" s="240" t="s">
        <v>139</v>
      </c>
      <c r="B34" s="241" t="s">
        <v>905</v>
      </c>
      <c r="C34" s="240" t="s">
        <v>890</v>
      </c>
      <c r="D34" s="244">
        <f>D35+D74+D81+D84</f>
        <v>44.037396000000008</v>
      </c>
      <c r="E34" s="237">
        <f t="shared" si="7"/>
        <v>14.104600663333336</v>
      </c>
      <c r="F34" s="237">
        <f t="shared" si="8"/>
        <v>0</v>
      </c>
      <c r="G34" s="237">
        <f t="shared" si="9"/>
        <v>6.5529639966666684</v>
      </c>
      <c r="H34" s="237">
        <f t="shared" si="10"/>
        <v>7.2756606666666661</v>
      </c>
      <c r="I34" s="237">
        <f t="shared" si="11"/>
        <v>0.27597600000000005</v>
      </c>
      <c r="J34" s="300">
        <f>J35+J74+J81+J84</f>
        <v>0.90774999666666933</v>
      </c>
      <c r="K34" s="300">
        <f t="shared" ref="K34:AC34" si="23">K35+K74+K81+K84</f>
        <v>0</v>
      </c>
      <c r="L34" s="300">
        <f t="shared" si="23"/>
        <v>0.90774999666666933</v>
      </c>
      <c r="M34" s="300">
        <f t="shared" si="23"/>
        <v>0</v>
      </c>
      <c r="N34" s="300">
        <f t="shared" si="23"/>
        <v>0</v>
      </c>
      <c r="O34" s="285">
        <f t="shared" si="23"/>
        <v>13.196850666666666</v>
      </c>
      <c r="P34" s="285">
        <f t="shared" si="23"/>
        <v>0</v>
      </c>
      <c r="Q34" s="285">
        <f t="shared" si="23"/>
        <v>5.6452139999999993</v>
      </c>
      <c r="R34" s="285">
        <f t="shared" si="23"/>
        <v>7.2756606666666661</v>
      </c>
      <c r="S34" s="285">
        <f t="shared" si="23"/>
        <v>0.27597600000000005</v>
      </c>
      <c r="T34" s="244">
        <f t="shared" si="23"/>
        <v>0</v>
      </c>
      <c r="U34" s="244">
        <f t="shared" si="23"/>
        <v>0</v>
      </c>
      <c r="V34" s="244">
        <f t="shared" si="23"/>
        <v>0</v>
      </c>
      <c r="W34" s="244">
        <f t="shared" si="23"/>
        <v>0</v>
      </c>
      <c r="X34" s="244">
        <f t="shared" si="23"/>
        <v>0</v>
      </c>
      <c r="Y34" s="244">
        <f t="shared" si="23"/>
        <v>0</v>
      </c>
      <c r="Z34" s="244">
        <f t="shared" si="23"/>
        <v>0</v>
      </c>
      <c r="AA34" s="244">
        <f t="shared" si="23"/>
        <v>0</v>
      </c>
      <c r="AB34" s="244">
        <f t="shared" si="23"/>
        <v>0</v>
      </c>
      <c r="AC34" s="244">
        <f t="shared" si="23"/>
        <v>0</v>
      </c>
      <c r="AD34" s="244">
        <f>AD35+AD74+AD81+AD84</f>
        <v>36.69783000000001</v>
      </c>
      <c r="AE34" s="237">
        <f t="shared" si="13"/>
        <v>36.738211130000003</v>
      </c>
      <c r="AF34" s="237">
        <f t="shared" si="14"/>
        <v>0</v>
      </c>
      <c r="AG34" s="237">
        <f t="shared" si="15"/>
        <v>14.334860490000001</v>
      </c>
      <c r="AH34" s="237">
        <f t="shared" si="16"/>
        <v>22.342350640000003</v>
      </c>
      <c r="AI34" s="237">
        <f t="shared" si="17"/>
        <v>1.6E-2</v>
      </c>
      <c r="AJ34" s="300">
        <f t="shared" ref="AJ34:BC34" si="24">AJ35+AJ74+AJ81+AJ84</f>
        <v>0.78756925</v>
      </c>
      <c r="AK34" s="300">
        <f t="shared" si="24"/>
        <v>0</v>
      </c>
      <c r="AL34" s="300">
        <f t="shared" si="24"/>
        <v>0.77156924999999998</v>
      </c>
      <c r="AM34" s="300">
        <f t="shared" si="24"/>
        <v>0</v>
      </c>
      <c r="AN34" s="300">
        <f t="shared" si="24"/>
        <v>1.6E-2</v>
      </c>
      <c r="AO34" s="244">
        <f t="shared" si="24"/>
        <v>19.673221160000001</v>
      </c>
      <c r="AP34" s="244">
        <f t="shared" si="24"/>
        <v>0</v>
      </c>
      <c r="AQ34" s="244">
        <f t="shared" si="24"/>
        <v>3.15671218</v>
      </c>
      <c r="AR34" s="244">
        <f t="shared" si="24"/>
        <v>16.471508980000003</v>
      </c>
      <c r="AS34" s="244">
        <f t="shared" si="24"/>
        <v>0</v>
      </c>
      <c r="AT34" s="285">
        <f t="shared" si="24"/>
        <v>12.55220581</v>
      </c>
      <c r="AU34" s="285">
        <f t="shared" si="24"/>
        <v>0</v>
      </c>
      <c r="AV34" s="285">
        <f t="shared" si="24"/>
        <v>6.9667808200000003</v>
      </c>
      <c r="AW34" s="285">
        <f t="shared" si="24"/>
        <v>5.5854249899999999</v>
      </c>
      <c r="AX34" s="285">
        <f t="shared" si="24"/>
        <v>0</v>
      </c>
      <c r="AY34" s="244">
        <f t="shared" si="24"/>
        <v>3.72521491</v>
      </c>
      <c r="AZ34" s="244">
        <f t="shared" si="24"/>
        <v>0</v>
      </c>
      <c r="BA34" s="244">
        <f t="shared" si="24"/>
        <v>3.43979824</v>
      </c>
      <c r="BB34" s="244">
        <f t="shared" si="24"/>
        <v>0.28541666999999998</v>
      </c>
      <c r="BC34" s="244">
        <f t="shared" si="24"/>
        <v>0</v>
      </c>
    </row>
    <row r="35" spans="1:55" s="236" customFormat="1" ht="23.25" customHeight="1" x14ac:dyDescent="0.2">
      <c r="A35" s="240" t="s">
        <v>140</v>
      </c>
      <c r="B35" s="241" t="s">
        <v>906</v>
      </c>
      <c r="C35" s="240" t="s">
        <v>890</v>
      </c>
      <c r="D35" s="244">
        <f>D36+D61</f>
        <v>18.134874240000002</v>
      </c>
      <c r="E35" s="237">
        <f t="shared" si="7"/>
        <v>7.5464280000000006</v>
      </c>
      <c r="F35" s="237">
        <f t="shared" si="8"/>
        <v>0</v>
      </c>
      <c r="G35" s="237">
        <f t="shared" si="9"/>
        <v>1.6887859999999999</v>
      </c>
      <c r="H35" s="237">
        <f t="shared" si="10"/>
        <v>5.5919939999999997</v>
      </c>
      <c r="I35" s="237">
        <f t="shared" si="11"/>
        <v>0.26564800000000005</v>
      </c>
      <c r="J35" s="300">
        <f>J36+J61</f>
        <v>0</v>
      </c>
      <c r="K35" s="300">
        <f t="shared" ref="K35:AC35" si="25">K36+K61</f>
        <v>0</v>
      </c>
      <c r="L35" s="300">
        <f t="shared" si="25"/>
        <v>0</v>
      </c>
      <c r="M35" s="300">
        <f t="shared" si="25"/>
        <v>0</v>
      </c>
      <c r="N35" s="300">
        <f t="shared" si="25"/>
        <v>0</v>
      </c>
      <c r="O35" s="285">
        <f t="shared" si="25"/>
        <v>7.5464280000000006</v>
      </c>
      <c r="P35" s="285">
        <f t="shared" si="25"/>
        <v>0</v>
      </c>
      <c r="Q35" s="285">
        <f t="shared" si="25"/>
        <v>1.6887859999999999</v>
      </c>
      <c r="R35" s="285">
        <f t="shared" si="25"/>
        <v>5.5919939999999997</v>
      </c>
      <c r="S35" s="285">
        <f t="shared" si="25"/>
        <v>0.26564800000000005</v>
      </c>
      <c r="T35" s="244">
        <f t="shared" si="25"/>
        <v>0</v>
      </c>
      <c r="U35" s="244">
        <f t="shared" si="25"/>
        <v>0</v>
      </c>
      <c r="V35" s="244">
        <f t="shared" si="25"/>
        <v>0</v>
      </c>
      <c r="W35" s="244">
        <f t="shared" si="25"/>
        <v>0</v>
      </c>
      <c r="X35" s="244">
        <f t="shared" si="25"/>
        <v>0</v>
      </c>
      <c r="Y35" s="244">
        <f t="shared" si="25"/>
        <v>0</v>
      </c>
      <c r="Z35" s="244">
        <f t="shared" si="25"/>
        <v>0</v>
      </c>
      <c r="AA35" s="244">
        <f t="shared" si="25"/>
        <v>0</v>
      </c>
      <c r="AB35" s="244">
        <f t="shared" si="25"/>
        <v>0</v>
      </c>
      <c r="AC35" s="244">
        <f t="shared" si="25"/>
        <v>0</v>
      </c>
      <c r="AD35" s="244">
        <f>AD36+AD61</f>
        <v>15.112395200000002</v>
      </c>
      <c r="AE35" s="237">
        <f t="shared" si="13"/>
        <v>14.08235775</v>
      </c>
      <c r="AF35" s="237">
        <f t="shared" si="14"/>
        <v>0</v>
      </c>
      <c r="AG35" s="237">
        <f t="shared" si="15"/>
        <v>3.8899994100000002</v>
      </c>
      <c r="AH35" s="237">
        <f t="shared" si="16"/>
        <v>10.14735834</v>
      </c>
      <c r="AI35" s="237">
        <f t="shared" si="17"/>
        <v>0</v>
      </c>
      <c r="AJ35" s="300">
        <f t="shared" ref="AJ35:BC35" si="26">AJ36+AJ61</f>
        <v>0</v>
      </c>
      <c r="AK35" s="300">
        <f t="shared" si="26"/>
        <v>0</v>
      </c>
      <c r="AL35" s="300">
        <f t="shared" si="26"/>
        <v>0</v>
      </c>
      <c r="AM35" s="300">
        <f t="shared" si="26"/>
        <v>0</v>
      </c>
      <c r="AN35" s="300">
        <f t="shared" si="26"/>
        <v>0</v>
      </c>
      <c r="AO35" s="244">
        <f t="shared" si="26"/>
        <v>5.5596201399999998</v>
      </c>
      <c r="AP35" s="244">
        <f t="shared" si="26"/>
        <v>0</v>
      </c>
      <c r="AQ35" s="244">
        <f t="shared" si="26"/>
        <v>1.23810346</v>
      </c>
      <c r="AR35" s="244">
        <f t="shared" si="26"/>
        <v>4.2765166800000003</v>
      </c>
      <c r="AS35" s="244">
        <f t="shared" si="26"/>
        <v>0</v>
      </c>
      <c r="AT35" s="285">
        <f t="shared" si="26"/>
        <v>7.1216435899999997</v>
      </c>
      <c r="AU35" s="285">
        <f t="shared" si="26"/>
        <v>0</v>
      </c>
      <c r="AV35" s="285">
        <f t="shared" si="26"/>
        <v>1.5362186000000002</v>
      </c>
      <c r="AW35" s="285">
        <f t="shared" si="26"/>
        <v>5.5854249899999999</v>
      </c>
      <c r="AX35" s="285">
        <f t="shared" si="26"/>
        <v>0</v>
      </c>
      <c r="AY35" s="244">
        <f t="shared" si="26"/>
        <v>1.4010940199999999</v>
      </c>
      <c r="AZ35" s="244">
        <f t="shared" si="26"/>
        <v>0</v>
      </c>
      <c r="BA35" s="244">
        <f t="shared" si="26"/>
        <v>1.1156773499999999</v>
      </c>
      <c r="BB35" s="244">
        <f t="shared" si="26"/>
        <v>0.28541666999999998</v>
      </c>
      <c r="BC35" s="244">
        <f t="shared" si="26"/>
        <v>0</v>
      </c>
    </row>
    <row r="36" spans="1:55" s="236" customFormat="1" ht="15.75" customHeight="1" x14ac:dyDescent="0.2">
      <c r="A36" s="240" t="s">
        <v>141</v>
      </c>
      <c r="B36" s="241" t="s">
        <v>907</v>
      </c>
      <c r="C36" s="240" t="s">
        <v>890</v>
      </c>
      <c r="D36" s="243">
        <f>D37+D38+D39+D45</f>
        <v>10.6475832</v>
      </c>
      <c r="E36" s="237">
        <f t="shared" si="7"/>
        <v>5.100581</v>
      </c>
      <c r="F36" s="237">
        <f t="shared" si="8"/>
        <v>0</v>
      </c>
      <c r="G36" s="237">
        <f t="shared" si="9"/>
        <v>1.0749519999999999</v>
      </c>
      <c r="H36" s="237">
        <f t="shared" si="10"/>
        <v>3.8336139999999999</v>
      </c>
      <c r="I36" s="237">
        <f t="shared" si="11"/>
        <v>0.19201500000000005</v>
      </c>
      <c r="J36" s="301">
        <f>J37+J38+J39+J45</f>
        <v>0</v>
      </c>
      <c r="K36" s="301">
        <f t="shared" ref="K36:AC36" si="27">K37+K38+K39+K45</f>
        <v>0</v>
      </c>
      <c r="L36" s="301">
        <f t="shared" si="27"/>
        <v>0</v>
      </c>
      <c r="M36" s="301">
        <f t="shared" si="27"/>
        <v>0</v>
      </c>
      <c r="N36" s="301">
        <f t="shared" si="27"/>
        <v>0</v>
      </c>
      <c r="O36" s="286">
        <f t="shared" si="27"/>
        <v>5.100581</v>
      </c>
      <c r="P36" s="286">
        <f t="shared" si="27"/>
        <v>0</v>
      </c>
      <c r="Q36" s="286">
        <f t="shared" si="27"/>
        <v>1.0749519999999999</v>
      </c>
      <c r="R36" s="286">
        <f t="shared" si="27"/>
        <v>3.8336139999999999</v>
      </c>
      <c r="S36" s="286">
        <f t="shared" si="27"/>
        <v>0.19201500000000005</v>
      </c>
      <c r="T36" s="243">
        <f t="shared" si="27"/>
        <v>0</v>
      </c>
      <c r="U36" s="243">
        <f t="shared" si="27"/>
        <v>0</v>
      </c>
      <c r="V36" s="243">
        <f t="shared" si="27"/>
        <v>0</v>
      </c>
      <c r="W36" s="243">
        <f t="shared" si="27"/>
        <v>0</v>
      </c>
      <c r="X36" s="243">
        <f t="shared" si="27"/>
        <v>0</v>
      </c>
      <c r="Y36" s="243">
        <f t="shared" si="27"/>
        <v>0</v>
      </c>
      <c r="Z36" s="243">
        <f t="shared" si="27"/>
        <v>0</v>
      </c>
      <c r="AA36" s="243">
        <f t="shared" si="27"/>
        <v>0</v>
      </c>
      <c r="AB36" s="243">
        <f t="shared" si="27"/>
        <v>0</v>
      </c>
      <c r="AC36" s="243">
        <f t="shared" si="27"/>
        <v>0</v>
      </c>
      <c r="AD36" s="243">
        <f>AD37+AD38+AD39+AD45</f>
        <v>8.8729860000000009</v>
      </c>
      <c r="AE36" s="237">
        <f t="shared" si="13"/>
        <v>7.8968946499999992</v>
      </c>
      <c r="AF36" s="237">
        <f t="shared" si="14"/>
        <v>0</v>
      </c>
      <c r="AG36" s="237">
        <f t="shared" si="15"/>
        <v>1.4003780000000003</v>
      </c>
      <c r="AH36" s="237">
        <f t="shared" si="16"/>
        <v>6.4965166500000002</v>
      </c>
      <c r="AI36" s="237">
        <f t="shared" si="17"/>
        <v>0</v>
      </c>
      <c r="AJ36" s="301">
        <f t="shared" ref="AJ36:BC36" si="28">AJ37+AJ38+AJ39+AJ45</f>
        <v>0</v>
      </c>
      <c r="AK36" s="301">
        <f t="shared" si="28"/>
        <v>0</v>
      </c>
      <c r="AL36" s="301">
        <f t="shared" si="28"/>
        <v>0</v>
      </c>
      <c r="AM36" s="301">
        <f t="shared" si="28"/>
        <v>0</v>
      </c>
      <c r="AN36" s="301">
        <f t="shared" si="28"/>
        <v>0</v>
      </c>
      <c r="AO36" s="243">
        <f t="shared" si="28"/>
        <v>4.0925381099999996</v>
      </c>
      <c r="AP36" s="243">
        <f t="shared" si="28"/>
        <v>0</v>
      </c>
      <c r="AQ36" s="243">
        <f t="shared" si="28"/>
        <v>0.95768811000000009</v>
      </c>
      <c r="AR36" s="243">
        <f t="shared" si="28"/>
        <v>3.1348500000000001</v>
      </c>
      <c r="AS36" s="243">
        <f t="shared" si="28"/>
        <v>0</v>
      </c>
      <c r="AT36" s="286">
        <f t="shared" si="28"/>
        <v>3.6378555800000001</v>
      </c>
      <c r="AU36" s="286">
        <f t="shared" si="28"/>
        <v>0</v>
      </c>
      <c r="AV36" s="286">
        <f t="shared" si="28"/>
        <v>0.27618893000000017</v>
      </c>
      <c r="AW36" s="286">
        <f t="shared" si="28"/>
        <v>3.3616666499999996</v>
      </c>
      <c r="AX36" s="286">
        <f t="shared" si="28"/>
        <v>0</v>
      </c>
      <c r="AY36" s="243">
        <f t="shared" si="28"/>
        <v>0.16650096</v>
      </c>
      <c r="AZ36" s="243">
        <f t="shared" si="28"/>
        <v>0</v>
      </c>
      <c r="BA36" s="243">
        <f t="shared" si="28"/>
        <v>0.16650096</v>
      </c>
      <c r="BB36" s="243">
        <f t="shared" si="28"/>
        <v>0</v>
      </c>
      <c r="BC36" s="243">
        <f t="shared" si="28"/>
        <v>0</v>
      </c>
    </row>
    <row r="37" spans="1:55" s="236" customFormat="1" x14ac:dyDescent="0.2">
      <c r="A37" s="261" t="s">
        <v>777</v>
      </c>
      <c r="B37" s="264" t="s">
        <v>968</v>
      </c>
      <c r="C37" s="261" t="s">
        <v>1014</v>
      </c>
      <c r="D37" s="270">
        <v>1.165662</v>
      </c>
      <c r="E37" s="237">
        <f t="shared" si="7"/>
        <v>0</v>
      </c>
      <c r="F37" s="237">
        <f t="shared" si="8"/>
        <v>0</v>
      </c>
      <c r="G37" s="237">
        <f t="shared" si="9"/>
        <v>0</v>
      </c>
      <c r="H37" s="237">
        <f t="shared" si="10"/>
        <v>0</v>
      </c>
      <c r="I37" s="237">
        <f t="shared" si="11"/>
        <v>0</v>
      </c>
      <c r="J37" s="308">
        <f t="shared" ref="J37:J38" si="29">K37+L37+M37+N37</f>
        <v>0</v>
      </c>
      <c r="K37" s="302">
        <v>0</v>
      </c>
      <c r="L37" s="302">
        <v>0</v>
      </c>
      <c r="M37" s="302">
        <v>0</v>
      </c>
      <c r="N37" s="302">
        <v>0</v>
      </c>
      <c r="O37" s="293">
        <f t="shared" ref="O37:O38" si="30">P37+Q37+R37+S37</f>
        <v>0</v>
      </c>
      <c r="P37" s="287">
        <v>0</v>
      </c>
      <c r="Q37" s="287">
        <v>0</v>
      </c>
      <c r="R37" s="287">
        <v>0</v>
      </c>
      <c r="S37" s="287">
        <v>0</v>
      </c>
      <c r="T37" s="270">
        <v>0</v>
      </c>
      <c r="U37" s="270">
        <v>0</v>
      </c>
      <c r="V37" s="270">
        <v>0</v>
      </c>
      <c r="W37" s="270">
        <v>0</v>
      </c>
      <c r="X37" s="270">
        <v>0</v>
      </c>
      <c r="Y37" s="270">
        <v>0</v>
      </c>
      <c r="Z37" s="270">
        <v>0</v>
      </c>
      <c r="AA37" s="270">
        <v>0</v>
      </c>
      <c r="AB37" s="270">
        <v>0</v>
      </c>
      <c r="AC37" s="270">
        <v>0</v>
      </c>
      <c r="AD37" s="270">
        <f>1.165662/1.2</f>
        <v>0.97138500000000005</v>
      </c>
      <c r="AE37" s="237">
        <f t="shared" si="13"/>
        <v>0.16650096</v>
      </c>
      <c r="AF37" s="237">
        <f t="shared" si="14"/>
        <v>0</v>
      </c>
      <c r="AG37" s="237">
        <f t="shared" si="15"/>
        <v>0.16650096</v>
      </c>
      <c r="AH37" s="237">
        <f t="shared" si="16"/>
        <v>0</v>
      </c>
      <c r="AI37" s="237">
        <f t="shared" si="17"/>
        <v>0</v>
      </c>
      <c r="AJ37" s="308">
        <f t="shared" ref="AJ37:AJ38" si="31">AK37+AL37+AM37+AN37</f>
        <v>0</v>
      </c>
      <c r="AK37" s="302">
        <v>0</v>
      </c>
      <c r="AL37" s="302">
        <v>0</v>
      </c>
      <c r="AM37" s="302">
        <v>0</v>
      </c>
      <c r="AN37" s="302">
        <v>0</v>
      </c>
      <c r="AO37" s="279">
        <f>AP37+AQ37+AR37+AS37</f>
        <v>0</v>
      </c>
      <c r="AP37" s="312">
        <v>0</v>
      </c>
      <c r="AQ37" s="312">
        <v>0</v>
      </c>
      <c r="AR37" s="312">
        <v>0</v>
      </c>
      <c r="AS37" s="312">
        <v>0</v>
      </c>
      <c r="AT37" s="287">
        <f t="shared" ref="AT37:AT38" si="32">AU37+AV37+AW37+AX37</f>
        <v>0</v>
      </c>
      <c r="AU37" s="287">
        <v>0</v>
      </c>
      <c r="AV37" s="287">
        <v>0</v>
      </c>
      <c r="AW37" s="287">
        <v>0</v>
      </c>
      <c r="AX37" s="287">
        <v>0</v>
      </c>
      <c r="AY37" s="270">
        <f>AZ37+BA37+BB37+BC37</f>
        <v>0.16650096</v>
      </c>
      <c r="AZ37" s="270">
        <v>0</v>
      </c>
      <c r="BA37" s="270">
        <v>0.16650096</v>
      </c>
      <c r="BB37" s="270">
        <v>0</v>
      </c>
      <c r="BC37" s="270">
        <v>0</v>
      </c>
    </row>
    <row r="38" spans="1:55" s="236" customFormat="1" x14ac:dyDescent="0.2">
      <c r="A38" s="261" t="s">
        <v>942</v>
      </c>
      <c r="B38" s="264" t="s">
        <v>969</v>
      </c>
      <c r="C38" s="261" t="s">
        <v>1015</v>
      </c>
      <c r="D38" s="270">
        <v>0.97679999999999989</v>
      </c>
      <c r="E38" s="237">
        <f t="shared" si="7"/>
        <v>0.81399999999999995</v>
      </c>
      <c r="F38" s="237">
        <f t="shared" si="8"/>
        <v>0</v>
      </c>
      <c r="G38" s="237">
        <f t="shared" si="9"/>
        <v>0.81399999999999995</v>
      </c>
      <c r="H38" s="237">
        <f t="shared" si="10"/>
        <v>0</v>
      </c>
      <c r="I38" s="237">
        <f t="shared" si="11"/>
        <v>0</v>
      </c>
      <c r="J38" s="308">
        <f t="shared" si="29"/>
        <v>0</v>
      </c>
      <c r="K38" s="302">
        <v>0</v>
      </c>
      <c r="L38" s="302">
        <v>0</v>
      </c>
      <c r="M38" s="302">
        <v>0</v>
      </c>
      <c r="N38" s="302">
        <v>0</v>
      </c>
      <c r="O38" s="293">
        <f t="shared" si="30"/>
        <v>0.81399999999999995</v>
      </c>
      <c r="P38" s="287">
        <v>0</v>
      </c>
      <c r="Q38" s="287">
        <v>0.81399999999999995</v>
      </c>
      <c r="R38" s="287">
        <v>0</v>
      </c>
      <c r="S38" s="287">
        <v>0</v>
      </c>
      <c r="T38" s="270">
        <v>0</v>
      </c>
      <c r="U38" s="270">
        <v>0</v>
      </c>
      <c r="V38" s="270">
        <v>0</v>
      </c>
      <c r="W38" s="270">
        <v>0</v>
      </c>
      <c r="X38" s="270">
        <v>0</v>
      </c>
      <c r="Y38" s="270">
        <v>0</v>
      </c>
      <c r="Z38" s="270">
        <v>0</v>
      </c>
      <c r="AA38" s="270">
        <v>0</v>
      </c>
      <c r="AB38" s="270">
        <v>0</v>
      </c>
      <c r="AC38" s="270">
        <v>0</v>
      </c>
      <c r="AD38" s="270">
        <f>0.9768/1.2</f>
        <v>0.81400000000000006</v>
      </c>
      <c r="AE38" s="237">
        <f t="shared" si="13"/>
        <v>0.82386231999999993</v>
      </c>
      <c r="AF38" s="237">
        <f t="shared" si="14"/>
        <v>0</v>
      </c>
      <c r="AG38" s="237">
        <f t="shared" si="15"/>
        <v>0.82386231999999993</v>
      </c>
      <c r="AH38" s="237">
        <f t="shared" si="16"/>
        <v>0</v>
      </c>
      <c r="AI38" s="237">
        <f t="shared" si="17"/>
        <v>0</v>
      </c>
      <c r="AJ38" s="308">
        <f t="shared" si="31"/>
        <v>0</v>
      </c>
      <c r="AK38" s="302">
        <v>0</v>
      </c>
      <c r="AL38" s="302">
        <v>0</v>
      </c>
      <c r="AM38" s="302">
        <v>0</v>
      </c>
      <c r="AN38" s="302">
        <v>0</v>
      </c>
      <c r="AO38" s="279">
        <f>AP38+AQ38+AR38+AS38</f>
        <v>0.68306721999999997</v>
      </c>
      <c r="AP38" s="312">
        <v>0</v>
      </c>
      <c r="AQ38" s="312">
        <f>683067.22/1000000</f>
        <v>0.68306721999999997</v>
      </c>
      <c r="AR38" s="312">
        <v>0</v>
      </c>
      <c r="AS38" s="312">
        <v>0</v>
      </c>
      <c r="AT38" s="287">
        <f t="shared" si="32"/>
        <v>0.14079510000000001</v>
      </c>
      <c r="AU38" s="287">
        <v>0</v>
      </c>
      <c r="AV38" s="287">
        <v>0.14079510000000001</v>
      </c>
      <c r="AW38" s="287">
        <v>0</v>
      </c>
      <c r="AX38" s="287">
        <v>0</v>
      </c>
      <c r="AY38" s="270">
        <f t="shared" ref="AY37:AY38" si="33">AZ38+BA38+BB38+BC38</f>
        <v>0</v>
      </c>
      <c r="AZ38" s="270">
        <v>0</v>
      </c>
      <c r="BA38" s="270">
        <v>0</v>
      </c>
      <c r="BB38" s="270">
        <v>0</v>
      </c>
      <c r="BC38" s="270">
        <v>0</v>
      </c>
    </row>
    <row r="39" spans="1:55" s="236" customFormat="1" x14ac:dyDescent="0.2">
      <c r="A39" s="261" t="s">
        <v>778</v>
      </c>
      <c r="B39" s="264" t="s">
        <v>970</v>
      </c>
      <c r="C39" s="261" t="s">
        <v>1016</v>
      </c>
      <c r="D39" s="270">
        <f>D40+D41+D42+D43+D44</f>
        <v>3.3610019999999996</v>
      </c>
      <c r="E39" s="237">
        <f t="shared" si="7"/>
        <v>0</v>
      </c>
      <c r="F39" s="237">
        <f t="shared" si="8"/>
        <v>0</v>
      </c>
      <c r="G39" s="237">
        <f t="shared" si="9"/>
        <v>0</v>
      </c>
      <c r="H39" s="237">
        <f t="shared" si="10"/>
        <v>0</v>
      </c>
      <c r="I39" s="237">
        <f t="shared" si="11"/>
        <v>0</v>
      </c>
      <c r="J39" s="302">
        <f>J40+J41+J42+J43+J44</f>
        <v>0</v>
      </c>
      <c r="K39" s="302">
        <f t="shared" ref="K39:AC39" si="34">K40+K41+K42+K43+K44</f>
        <v>0</v>
      </c>
      <c r="L39" s="302">
        <f t="shared" si="34"/>
        <v>0</v>
      </c>
      <c r="M39" s="302">
        <f t="shared" si="34"/>
        <v>0</v>
      </c>
      <c r="N39" s="302">
        <f t="shared" si="34"/>
        <v>0</v>
      </c>
      <c r="O39" s="287">
        <f t="shared" si="34"/>
        <v>0</v>
      </c>
      <c r="P39" s="287">
        <f t="shared" si="34"/>
        <v>0</v>
      </c>
      <c r="Q39" s="287">
        <f t="shared" si="34"/>
        <v>0</v>
      </c>
      <c r="R39" s="287">
        <f t="shared" si="34"/>
        <v>0</v>
      </c>
      <c r="S39" s="287">
        <f t="shared" si="34"/>
        <v>0</v>
      </c>
      <c r="T39" s="270">
        <f t="shared" si="34"/>
        <v>0</v>
      </c>
      <c r="U39" s="270">
        <f t="shared" si="34"/>
        <v>0</v>
      </c>
      <c r="V39" s="270">
        <f t="shared" si="34"/>
        <v>0</v>
      </c>
      <c r="W39" s="270">
        <f t="shared" si="34"/>
        <v>0</v>
      </c>
      <c r="X39" s="270">
        <f t="shared" si="34"/>
        <v>0</v>
      </c>
      <c r="Y39" s="270">
        <f t="shared" si="34"/>
        <v>0</v>
      </c>
      <c r="Z39" s="270">
        <f t="shared" si="34"/>
        <v>0</v>
      </c>
      <c r="AA39" s="270">
        <f t="shared" si="34"/>
        <v>0</v>
      </c>
      <c r="AB39" s="270">
        <f t="shared" si="34"/>
        <v>0</v>
      </c>
      <c r="AC39" s="270">
        <f t="shared" si="34"/>
        <v>0</v>
      </c>
      <c r="AD39" s="270">
        <f>AD40+AD41+AD42+AD43+AD44</f>
        <v>2.8008350000000002</v>
      </c>
      <c r="AE39" s="237">
        <f t="shared" si="13"/>
        <v>2.8203177200000003</v>
      </c>
      <c r="AF39" s="237">
        <f t="shared" si="14"/>
        <v>0</v>
      </c>
      <c r="AG39" s="237">
        <f t="shared" si="15"/>
        <v>9.9901070000000147E-2</v>
      </c>
      <c r="AH39" s="237">
        <f t="shared" si="16"/>
        <v>2.7204166499999998</v>
      </c>
      <c r="AI39" s="237">
        <f t="shared" si="17"/>
        <v>0</v>
      </c>
      <c r="AJ39" s="302">
        <f t="shared" ref="AJ39:BC39" si="35">AJ40+AJ41+AJ42+AJ43+AJ44</f>
        <v>0</v>
      </c>
      <c r="AK39" s="302">
        <f t="shared" si="35"/>
        <v>0</v>
      </c>
      <c r="AL39" s="302">
        <f t="shared" si="35"/>
        <v>0</v>
      </c>
      <c r="AM39" s="302">
        <f t="shared" si="35"/>
        <v>0</v>
      </c>
      <c r="AN39" s="302">
        <f t="shared" si="35"/>
        <v>0</v>
      </c>
      <c r="AO39" s="312">
        <f>AO40+AO41+AO42+AO43+AO44</f>
        <v>0</v>
      </c>
      <c r="AP39" s="312">
        <f t="shared" si="35"/>
        <v>0</v>
      </c>
      <c r="AQ39" s="312">
        <f t="shared" si="35"/>
        <v>0</v>
      </c>
      <c r="AR39" s="312">
        <f t="shared" si="35"/>
        <v>0</v>
      </c>
      <c r="AS39" s="312">
        <f t="shared" si="35"/>
        <v>0</v>
      </c>
      <c r="AT39" s="287">
        <f t="shared" si="35"/>
        <v>2.8203177200000003</v>
      </c>
      <c r="AU39" s="287">
        <f t="shared" si="35"/>
        <v>0</v>
      </c>
      <c r="AV39" s="287">
        <f t="shared" si="35"/>
        <v>9.9901070000000147E-2</v>
      </c>
      <c r="AW39" s="287">
        <f t="shared" si="35"/>
        <v>2.7204166499999998</v>
      </c>
      <c r="AX39" s="287">
        <f t="shared" si="35"/>
        <v>0</v>
      </c>
      <c r="AY39" s="270">
        <f t="shared" ref="AY39" si="36">AY40+AY41+AY42+AY43+AY44</f>
        <v>0</v>
      </c>
      <c r="AZ39" s="270">
        <f t="shared" si="35"/>
        <v>0</v>
      </c>
      <c r="BA39" s="270">
        <f t="shared" si="35"/>
        <v>0</v>
      </c>
      <c r="BB39" s="270">
        <f t="shared" si="35"/>
        <v>0</v>
      </c>
      <c r="BC39" s="270">
        <f t="shared" si="35"/>
        <v>0</v>
      </c>
    </row>
    <row r="40" spans="1:55" s="236" customFormat="1" x14ac:dyDescent="0.2">
      <c r="A40" s="245" t="s">
        <v>908</v>
      </c>
      <c r="B40" s="246" t="s">
        <v>971</v>
      </c>
      <c r="C40" s="245" t="s">
        <v>1017</v>
      </c>
      <c r="D40" s="271">
        <v>0.67220039999999992</v>
      </c>
      <c r="E40" s="237">
        <f t="shared" si="7"/>
        <v>0</v>
      </c>
      <c r="F40" s="237">
        <f t="shared" si="8"/>
        <v>0</v>
      </c>
      <c r="G40" s="237">
        <f t="shared" si="9"/>
        <v>0</v>
      </c>
      <c r="H40" s="237">
        <f t="shared" si="10"/>
        <v>0</v>
      </c>
      <c r="I40" s="237">
        <f t="shared" si="11"/>
        <v>0</v>
      </c>
      <c r="J40" s="303">
        <f t="shared" ref="J40:J44" si="37">K40+L40+M40+N40</f>
        <v>0</v>
      </c>
      <c r="K40" s="303">
        <v>0</v>
      </c>
      <c r="L40" s="303">
        <v>0</v>
      </c>
      <c r="M40" s="303">
        <v>0</v>
      </c>
      <c r="N40" s="303">
        <v>0</v>
      </c>
      <c r="O40" s="288">
        <f t="shared" ref="O40:O44" si="38">P40+Q40+R40+S40</f>
        <v>0</v>
      </c>
      <c r="P40" s="288">
        <v>0</v>
      </c>
      <c r="Q40" s="288">
        <v>0</v>
      </c>
      <c r="R40" s="288">
        <v>0</v>
      </c>
      <c r="S40" s="288">
        <v>0</v>
      </c>
      <c r="T40" s="271">
        <v>0</v>
      </c>
      <c r="U40" s="271">
        <v>0</v>
      </c>
      <c r="V40" s="271">
        <v>0</v>
      </c>
      <c r="W40" s="271">
        <v>0</v>
      </c>
      <c r="X40" s="271">
        <v>0</v>
      </c>
      <c r="Y40" s="271">
        <v>0</v>
      </c>
      <c r="Z40" s="271">
        <v>0</v>
      </c>
      <c r="AA40" s="271">
        <v>0</v>
      </c>
      <c r="AB40" s="271">
        <v>0</v>
      </c>
      <c r="AC40" s="271">
        <v>0</v>
      </c>
      <c r="AD40" s="271">
        <f>0.6722004/1.2</f>
        <v>0.56016700000000008</v>
      </c>
      <c r="AE40" s="237">
        <f t="shared" si="13"/>
        <v>0.57560807999999997</v>
      </c>
      <c r="AF40" s="237">
        <f t="shared" si="14"/>
        <v>0</v>
      </c>
      <c r="AG40" s="237">
        <f t="shared" si="15"/>
        <v>3.152474999999999E-2</v>
      </c>
      <c r="AH40" s="237">
        <f t="shared" si="16"/>
        <v>0.54408332999999998</v>
      </c>
      <c r="AI40" s="237">
        <f t="shared" si="17"/>
        <v>0</v>
      </c>
      <c r="AJ40" s="303">
        <f t="shared" ref="AJ40:AJ44" si="39">AK40+AL40+AM40+AN40</f>
        <v>0</v>
      </c>
      <c r="AK40" s="303">
        <v>0</v>
      </c>
      <c r="AL40" s="303">
        <v>0</v>
      </c>
      <c r="AM40" s="303">
        <v>0</v>
      </c>
      <c r="AN40" s="303">
        <v>0</v>
      </c>
      <c r="AO40" s="274">
        <f>AP40+AQ40+AR40+AS40</f>
        <v>0</v>
      </c>
      <c r="AP40" s="271">
        <v>0</v>
      </c>
      <c r="AQ40" s="271">
        <v>0</v>
      </c>
      <c r="AR40" s="271">
        <v>0</v>
      </c>
      <c r="AS40" s="271">
        <v>0</v>
      </c>
      <c r="AT40" s="288">
        <f t="shared" ref="AT40:AT44" si="40">AU40+AV40+AW40+AX40</f>
        <v>0.57560807999999997</v>
      </c>
      <c r="AU40" s="288">
        <v>0</v>
      </c>
      <c r="AV40" s="288">
        <f>0.57560808-AW40</f>
        <v>3.152474999999999E-2</v>
      </c>
      <c r="AW40" s="288">
        <v>0.54408332999999998</v>
      </c>
      <c r="AX40" s="288">
        <v>0</v>
      </c>
      <c r="AY40" s="271">
        <f t="shared" ref="AY40:AY44" si="41">AZ40+BA40+BB40+BC40</f>
        <v>0</v>
      </c>
      <c r="AZ40" s="271">
        <v>0</v>
      </c>
      <c r="BA40" s="271">
        <v>0</v>
      </c>
      <c r="BB40" s="271">
        <v>0</v>
      </c>
      <c r="BC40" s="271">
        <v>0</v>
      </c>
    </row>
    <row r="41" spans="1:55" s="236" customFormat="1" ht="15" customHeight="1" x14ac:dyDescent="0.2">
      <c r="A41" s="245" t="s">
        <v>929</v>
      </c>
      <c r="B41" s="246" t="s">
        <v>972</v>
      </c>
      <c r="C41" s="245" t="s">
        <v>1018</v>
      </c>
      <c r="D41" s="271">
        <v>0.67220039999999992</v>
      </c>
      <c r="E41" s="237">
        <f t="shared" si="7"/>
        <v>0</v>
      </c>
      <c r="F41" s="237">
        <f t="shared" si="8"/>
        <v>0</v>
      </c>
      <c r="G41" s="237">
        <f t="shared" si="9"/>
        <v>0</v>
      </c>
      <c r="H41" s="237">
        <f t="shared" si="10"/>
        <v>0</v>
      </c>
      <c r="I41" s="237">
        <f t="shared" si="11"/>
        <v>0</v>
      </c>
      <c r="J41" s="303">
        <f t="shared" si="37"/>
        <v>0</v>
      </c>
      <c r="K41" s="303">
        <v>0</v>
      </c>
      <c r="L41" s="303">
        <v>0</v>
      </c>
      <c r="M41" s="303">
        <v>0</v>
      </c>
      <c r="N41" s="303">
        <v>0</v>
      </c>
      <c r="O41" s="288">
        <f t="shared" si="38"/>
        <v>0</v>
      </c>
      <c r="P41" s="288">
        <v>0</v>
      </c>
      <c r="Q41" s="288">
        <v>0</v>
      </c>
      <c r="R41" s="288">
        <v>0</v>
      </c>
      <c r="S41" s="288">
        <v>0</v>
      </c>
      <c r="T41" s="271">
        <v>0</v>
      </c>
      <c r="U41" s="271">
        <v>0</v>
      </c>
      <c r="V41" s="271">
        <v>0</v>
      </c>
      <c r="W41" s="271">
        <v>0</v>
      </c>
      <c r="X41" s="271">
        <v>0</v>
      </c>
      <c r="Y41" s="271">
        <v>0</v>
      </c>
      <c r="Z41" s="271">
        <v>0</v>
      </c>
      <c r="AA41" s="271">
        <v>0</v>
      </c>
      <c r="AB41" s="271">
        <v>0</v>
      </c>
      <c r="AC41" s="271">
        <v>0</v>
      </c>
      <c r="AD41" s="271">
        <f>0.6722004/1.2</f>
        <v>0.56016700000000008</v>
      </c>
      <c r="AE41" s="237">
        <f t="shared" si="13"/>
        <v>0.55720124000000004</v>
      </c>
      <c r="AF41" s="237">
        <f t="shared" si="14"/>
        <v>0</v>
      </c>
      <c r="AG41" s="237">
        <f t="shared" si="15"/>
        <v>1.3117910000000066E-2</v>
      </c>
      <c r="AH41" s="237">
        <f t="shared" si="16"/>
        <v>0.54408332999999998</v>
      </c>
      <c r="AI41" s="237">
        <f t="shared" si="17"/>
        <v>0</v>
      </c>
      <c r="AJ41" s="303">
        <f t="shared" si="39"/>
        <v>0</v>
      </c>
      <c r="AK41" s="303">
        <v>0</v>
      </c>
      <c r="AL41" s="303">
        <v>0</v>
      </c>
      <c r="AM41" s="303">
        <v>0</v>
      </c>
      <c r="AN41" s="303">
        <v>0</v>
      </c>
      <c r="AO41" s="274">
        <f t="shared" ref="AO41:AO44" si="42">AP41+AQ41+AR41+AS41</f>
        <v>0</v>
      </c>
      <c r="AP41" s="271">
        <v>0</v>
      </c>
      <c r="AQ41" s="271">
        <v>0</v>
      </c>
      <c r="AR41" s="271">
        <v>0</v>
      </c>
      <c r="AS41" s="271">
        <v>0</v>
      </c>
      <c r="AT41" s="288">
        <f t="shared" si="40"/>
        <v>0.55720124000000004</v>
      </c>
      <c r="AU41" s="288">
        <v>0</v>
      </c>
      <c r="AV41" s="288">
        <f>0.55720124-AW41</f>
        <v>1.3117910000000066E-2</v>
      </c>
      <c r="AW41" s="288">
        <v>0.54408332999999998</v>
      </c>
      <c r="AX41" s="288">
        <v>0</v>
      </c>
      <c r="AY41" s="271">
        <f t="shared" si="41"/>
        <v>0</v>
      </c>
      <c r="AZ41" s="271">
        <v>0</v>
      </c>
      <c r="BA41" s="271">
        <v>0</v>
      </c>
      <c r="BB41" s="271">
        <v>0</v>
      </c>
      <c r="BC41" s="271">
        <v>0</v>
      </c>
    </row>
    <row r="42" spans="1:55" s="236" customFormat="1" x14ac:dyDescent="0.2">
      <c r="A42" s="245" t="s">
        <v>932</v>
      </c>
      <c r="B42" s="246" t="s">
        <v>973</v>
      </c>
      <c r="C42" s="245" t="s">
        <v>1019</v>
      </c>
      <c r="D42" s="271">
        <v>0.67220039999999992</v>
      </c>
      <c r="E42" s="237">
        <f t="shared" si="7"/>
        <v>0</v>
      </c>
      <c r="F42" s="237">
        <f t="shared" si="8"/>
        <v>0</v>
      </c>
      <c r="G42" s="237">
        <f t="shared" si="9"/>
        <v>0</v>
      </c>
      <c r="H42" s="237">
        <f t="shared" si="10"/>
        <v>0</v>
      </c>
      <c r="I42" s="237">
        <f t="shared" si="11"/>
        <v>0</v>
      </c>
      <c r="J42" s="303">
        <f t="shared" si="37"/>
        <v>0</v>
      </c>
      <c r="K42" s="303">
        <v>0</v>
      </c>
      <c r="L42" s="303">
        <v>0</v>
      </c>
      <c r="M42" s="303">
        <v>0</v>
      </c>
      <c r="N42" s="303">
        <v>0</v>
      </c>
      <c r="O42" s="288">
        <f t="shared" si="38"/>
        <v>0</v>
      </c>
      <c r="P42" s="288">
        <v>0</v>
      </c>
      <c r="Q42" s="288">
        <v>0</v>
      </c>
      <c r="R42" s="288">
        <v>0</v>
      </c>
      <c r="S42" s="288">
        <v>0</v>
      </c>
      <c r="T42" s="271">
        <v>0</v>
      </c>
      <c r="U42" s="271">
        <v>0</v>
      </c>
      <c r="V42" s="271">
        <v>0</v>
      </c>
      <c r="W42" s="271">
        <v>0</v>
      </c>
      <c r="X42" s="271">
        <v>0</v>
      </c>
      <c r="Y42" s="271">
        <v>0</v>
      </c>
      <c r="Z42" s="271">
        <v>0</v>
      </c>
      <c r="AA42" s="271">
        <v>0</v>
      </c>
      <c r="AB42" s="271">
        <v>0</v>
      </c>
      <c r="AC42" s="271">
        <v>0</v>
      </c>
      <c r="AD42" s="271">
        <f>0.6722004/1.2</f>
        <v>0.56016700000000008</v>
      </c>
      <c r="AE42" s="237">
        <f t="shared" si="13"/>
        <v>0.56242230000000004</v>
      </c>
      <c r="AF42" s="237">
        <f t="shared" si="14"/>
        <v>0</v>
      </c>
      <c r="AG42" s="237">
        <f t="shared" si="15"/>
        <v>1.8338970000000065E-2</v>
      </c>
      <c r="AH42" s="237">
        <f t="shared" si="16"/>
        <v>0.54408332999999998</v>
      </c>
      <c r="AI42" s="237">
        <f t="shared" si="17"/>
        <v>0</v>
      </c>
      <c r="AJ42" s="303">
        <f t="shared" si="39"/>
        <v>0</v>
      </c>
      <c r="AK42" s="303">
        <v>0</v>
      </c>
      <c r="AL42" s="303">
        <v>0</v>
      </c>
      <c r="AM42" s="303">
        <v>0</v>
      </c>
      <c r="AN42" s="303">
        <v>0</v>
      </c>
      <c r="AO42" s="274">
        <f t="shared" si="42"/>
        <v>0</v>
      </c>
      <c r="AP42" s="271">
        <v>0</v>
      </c>
      <c r="AQ42" s="271">
        <v>0</v>
      </c>
      <c r="AR42" s="271">
        <v>0</v>
      </c>
      <c r="AS42" s="271">
        <v>0</v>
      </c>
      <c r="AT42" s="288">
        <f t="shared" si="40"/>
        <v>0.56242230000000004</v>
      </c>
      <c r="AU42" s="288">
        <v>0</v>
      </c>
      <c r="AV42" s="288">
        <f>0.5624223-AW42</f>
        <v>1.8338970000000065E-2</v>
      </c>
      <c r="AW42" s="288">
        <v>0.54408332999999998</v>
      </c>
      <c r="AX42" s="288">
        <v>0</v>
      </c>
      <c r="AY42" s="271">
        <f t="shared" si="41"/>
        <v>0</v>
      </c>
      <c r="AZ42" s="271">
        <v>0</v>
      </c>
      <c r="BA42" s="271">
        <v>0</v>
      </c>
      <c r="BB42" s="271">
        <v>0</v>
      </c>
      <c r="BC42" s="271">
        <v>0</v>
      </c>
    </row>
    <row r="43" spans="1:55" s="236" customFormat="1" x14ac:dyDescent="0.2">
      <c r="A43" s="245" t="s">
        <v>933</v>
      </c>
      <c r="B43" s="246" t="s">
        <v>974</v>
      </c>
      <c r="C43" s="245" t="s">
        <v>1020</v>
      </c>
      <c r="D43" s="271">
        <v>0.67220039999999992</v>
      </c>
      <c r="E43" s="237">
        <f t="shared" si="7"/>
        <v>0</v>
      </c>
      <c r="F43" s="237">
        <f t="shared" si="8"/>
        <v>0</v>
      </c>
      <c r="G43" s="237">
        <f t="shared" si="9"/>
        <v>0</v>
      </c>
      <c r="H43" s="237">
        <f t="shared" si="10"/>
        <v>0</v>
      </c>
      <c r="I43" s="237">
        <f t="shared" si="11"/>
        <v>0</v>
      </c>
      <c r="J43" s="303">
        <f t="shared" si="37"/>
        <v>0</v>
      </c>
      <c r="K43" s="303">
        <v>0</v>
      </c>
      <c r="L43" s="303">
        <v>0</v>
      </c>
      <c r="M43" s="303">
        <v>0</v>
      </c>
      <c r="N43" s="303">
        <v>0</v>
      </c>
      <c r="O43" s="288">
        <f t="shared" si="38"/>
        <v>0</v>
      </c>
      <c r="P43" s="288">
        <v>0</v>
      </c>
      <c r="Q43" s="288">
        <v>0</v>
      </c>
      <c r="R43" s="288">
        <v>0</v>
      </c>
      <c r="S43" s="288">
        <v>0</v>
      </c>
      <c r="T43" s="271">
        <v>0</v>
      </c>
      <c r="U43" s="271">
        <v>0</v>
      </c>
      <c r="V43" s="271">
        <v>0</v>
      </c>
      <c r="W43" s="271">
        <v>0</v>
      </c>
      <c r="X43" s="271">
        <v>0</v>
      </c>
      <c r="Y43" s="271">
        <v>0</v>
      </c>
      <c r="Z43" s="271">
        <v>0</v>
      </c>
      <c r="AA43" s="271">
        <v>0</v>
      </c>
      <c r="AB43" s="271">
        <v>0</v>
      </c>
      <c r="AC43" s="271">
        <v>0</v>
      </c>
      <c r="AD43" s="271">
        <f>0.6722004/1.2</f>
        <v>0.56016700000000008</v>
      </c>
      <c r="AE43" s="237">
        <f t="shared" si="13"/>
        <v>0.56700176999999996</v>
      </c>
      <c r="AF43" s="237">
        <f t="shared" si="14"/>
        <v>0</v>
      </c>
      <c r="AG43" s="237">
        <f t="shared" si="15"/>
        <v>2.2918439999999984E-2</v>
      </c>
      <c r="AH43" s="237">
        <f t="shared" si="16"/>
        <v>0.54408332999999998</v>
      </c>
      <c r="AI43" s="237">
        <f t="shared" si="17"/>
        <v>0</v>
      </c>
      <c r="AJ43" s="303">
        <f t="shared" si="39"/>
        <v>0</v>
      </c>
      <c r="AK43" s="303">
        <v>0</v>
      </c>
      <c r="AL43" s="303">
        <v>0</v>
      </c>
      <c r="AM43" s="303">
        <v>0</v>
      </c>
      <c r="AN43" s="303">
        <v>0</v>
      </c>
      <c r="AO43" s="274">
        <f t="shared" si="42"/>
        <v>0</v>
      </c>
      <c r="AP43" s="271">
        <v>0</v>
      </c>
      <c r="AQ43" s="271">
        <v>0</v>
      </c>
      <c r="AR43" s="271">
        <v>0</v>
      </c>
      <c r="AS43" s="271">
        <v>0</v>
      </c>
      <c r="AT43" s="288">
        <f t="shared" si="40"/>
        <v>0.56700176999999996</v>
      </c>
      <c r="AU43" s="288">
        <v>0</v>
      </c>
      <c r="AV43" s="288">
        <f>0.56700177-AW43</f>
        <v>2.2918439999999984E-2</v>
      </c>
      <c r="AW43" s="288">
        <v>0.54408332999999998</v>
      </c>
      <c r="AX43" s="288">
        <v>0</v>
      </c>
      <c r="AY43" s="271">
        <f t="shared" si="41"/>
        <v>0</v>
      </c>
      <c r="AZ43" s="271">
        <v>0</v>
      </c>
      <c r="BA43" s="271">
        <v>0</v>
      </c>
      <c r="BB43" s="271">
        <v>0</v>
      </c>
      <c r="BC43" s="271">
        <v>0</v>
      </c>
    </row>
    <row r="44" spans="1:55" s="236" customFormat="1" x14ac:dyDescent="0.2">
      <c r="A44" s="245" t="s">
        <v>934</v>
      </c>
      <c r="B44" s="246" t="s">
        <v>975</v>
      </c>
      <c r="C44" s="245" t="s">
        <v>1021</v>
      </c>
      <c r="D44" s="271">
        <v>0.67220039999999992</v>
      </c>
      <c r="E44" s="237">
        <f t="shared" si="7"/>
        <v>0</v>
      </c>
      <c r="F44" s="237">
        <f t="shared" si="8"/>
        <v>0</v>
      </c>
      <c r="G44" s="237">
        <f t="shared" si="9"/>
        <v>0</v>
      </c>
      <c r="H44" s="237">
        <f t="shared" si="10"/>
        <v>0</v>
      </c>
      <c r="I44" s="237">
        <f t="shared" si="11"/>
        <v>0</v>
      </c>
      <c r="J44" s="303">
        <f t="shared" si="37"/>
        <v>0</v>
      </c>
      <c r="K44" s="303">
        <v>0</v>
      </c>
      <c r="L44" s="303">
        <v>0</v>
      </c>
      <c r="M44" s="303">
        <v>0</v>
      </c>
      <c r="N44" s="303">
        <v>0</v>
      </c>
      <c r="O44" s="288">
        <f t="shared" si="38"/>
        <v>0</v>
      </c>
      <c r="P44" s="288">
        <v>0</v>
      </c>
      <c r="Q44" s="288">
        <v>0</v>
      </c>
      <c r="R44" s="288">
        <v>0</v>
      </c>
      <c r="S44" s="288">
        <v>0</v>
      </c>
      <c r="T44" s="271">
        <v>0</v>
      </c>
      <c r="U44" s="271">
        <v>0</v>
      </c>
      <c r="V44" s="271">
        <v>0</v>
      </c>
      <c r="W44" s="271">
        <v>0</v>
      </c>
      <c r="X44" s="271">
        <v>0</v>
      </c>
      <c r="Y44" s="271">
        <v>0</v>
      </c>
      <c r="Z44" s="271">
        <v>0</v>
      </c>
      <c r="AA44" s="271">
        <v>0</v>
      </c>
      <c r="AB44" s="271">
        <v>0</v>
      </c>
      <c r="AC44" s="271">
        <v>0</v>
      </c>
      <c r="AD44" s="271">
        <f>0.6722004/1.2</f>
        <v>0.56016700000000008</v>
      </c>
      <c r="AE44" s="237">
        <f t="shared" si="13"/>
        <v>0.55808433000000002</v>
      </c>
      <c r="AF44" s="237">
        <f t="shared" si="14"/>
        <v>0</v>
      </c>
      <c r="AG44" s="237">
        <f t="shared" si="15"/>
        <v>1.4001000000000041E-2</v>
      </c>
      <c r="AH44" s="237">
        <f t="shared" si="16"/>
        <v>0.54408332999999998</v>
      </c>
      <c r="AI44" s="237">
        <f t="shared" si="17"/>
        <v>0</v>
      </c>
      <c r="AJ44" s="303">
        <f t="shared" si="39"/>
        <v>0</v>
      </c>
      <c r="AK44" s="303">
        <v>0</v>
      </c>
      <c r="AL44" s="303">
        <v>0</v>
      </c>
      <c r="AM44" s="303">
        <v>0</v>
      </c>
      <c r="AN44" s="303">
        <v>0</v>
      </c>
      <c r="AO44" s="274">
        <f t="shared" si="42"/>
        <v>0</v>
      </c>
      <c r="AP44" s="271">
        <v>0</v>
      </c>
      <c r="AQ44" s="271">
        <v>0</v>
      </c>
      <c r="AR44" s="271">
        <v>0</v>
      </c>
      <c r="AS44" s="271">
        <v>0</v>
      </c>
      <c r="AT44" s="288">
        <f t="shared" si="40"/>
        <v>0.55808433000000002</v>
      </c>
      <c r="AU44" s="288">
        <v>0</v>
      </c>
      <c r="AV44" s="288">
        <f>0.55808433-AW44</f>
        <v>1.4001000000000041E-2</v>
      </c>
      <c r="AW44" s="288">
        <v>0.54408332999999998</v>
      </c>
      <c r="AX44" s="288">
        <v>0</v>
      </c>
      <c r="AY44" s="271">
        <f t="shared" si="41"/>
        <v>0</v>
      </c>
      <c r="AZ44" s="271">
        <v>0</v>
      </c>
      <c r="BA44" s="271">
        <v>0</v>
      </c>
      <c r="BB44" s="271">
        <v>0</v>
      </c>
      <c r="BC44" s="271">
        <v>0</v>
      </c>
    </row>
    <row r="45" spans="1:55" s="236" customFormat="1" x14ac:dyDescent="0.2">
      <c r="A45" s="261" t="s">
        <v>779</v>
      </c>
      <c r="B45" s="264" t="s">
        <v>976</v>
      </c>
      <c r="C45" s="261" t="s">
        <v>1022</v>
      </c>
      <c r="D45" s="270">
        <f>D46+D47+D48+D49+D50+D51+D52+D53+D54+D55+D56+D57+D58+D59+D60</f>
        <v>5.1441192000000004</v>
      </c>
      <c r="E45" s="237">
        <f t="shared" si="7"/>
        <v>4.286581</v>
      </c>
      <c r="F45" s="237">
        <f t="shared" si="8"/>
        <v>0</v>
      </c>
      <c r="G45" s="237">
        <f t="shared" si="9"/>
        <v>0.26095199999999996</v>
      </c>
      <c r="H45" s="237">
        <f t="shared" si="10"/>
        <v>3.8336139999999999</v>
      </c>
      <c r="I45" s="237">
        <f t="shared" si="11"/>
        <v>0.19201500000000005</v>
      </c>
      <c r="J45" s="302">
        <f>J46+J47+J48+J49+J50+J51+J52+J53+J54+J55+J56+J57+J58+J59+J60</f>
        <v>0</v>
      </c>
      <c r="K45" s="302">
        <f t="shared" ref="K45:AC45" si="43">K46+K47+K48+K49+K50+K51+K52+K53+K54+K55+K56+K57+K58+K59+K60</f>
        <v>0</v>
      </c>
      <c r="L45" s="302">
        <f t="shared" si="43"/>
        <v>0</v>
      </c>
      <c r="M45" s="302">
        <f t="shared" si="43"/>
        <v>0</v>
      </c>
      <c r="N45" s="302">
        <f t="shared" si="43"/>
        <v>0</v>
      </c>
      <c r="O45" s="287">
        <f t="shared" si="43"/>
        <v>4.286581</v>
      </c>
      <c r="P45" s="287">
        <f t="shared" si="43"/>
        <v>0</v>
      </c>
      <c r="Q45" s="287">
        <f t="shared" si="43"/>
        <v>0.26095199999999996</v>
      </c>
      <c r="R45" s="287">
        <f t="shared" si="43"/>
        <v>3.8336139999999999</v>
      </c>
      <c r="S45" s="287">
        <f t="shared" si="43"/>
        <v>0.19201500000000005</v>
      </c>
      <c r="T45" s="270">
        <f t="shared" si="43"/>
        <v>0</v>
      </c>
      <c r="U45" s="270">
        <f t="shared" si="43"/>
        <v>0</v>
      </c>
      <c r="V45" s="270">
        <f t="shared" si="43"/>
        <v>0</v>
      </c>
      <c r="W45" s="270">
        <f t="shared" si="43"/>
        <v>0</v>
      </c>
      <c r="X45" s="270">
        <f t="shared" si="43"/>
        <v>0</v>
      </c>
      <c r="Y45" s="270">
        <f t="shared" si="43"/>
        <v>0</v>
      </c>
      <c r="Z45" s="270">
        <f t="shared" si="43"/>
        <v>0</v>
      </c>
      <c r="AA45" s="270">
        <f t="shared" si="43"/>
        <v>0</v>
      </c>
      <c r="AB45" s="270">
        <f t="shared" si="43"/>
        <v>0</v>
      </c>
      <c r="AC45" s="270">
        <f t="shared" si="43"/>
        <v>0</v>
      </c>
      <c r="AD45" s="270">
        <f>AD46+AD47+AD48+AD49+AD50+AD51+AD52+AD53+AD54+AD55+AD56+AD57+AD58+AD59+AD60</f>
        <v>4.286766000000001</v>
      </c>
      <c r="AE45" s="237">
        <f t="shared" si="13"/>
        <v>4.0862136499999995</v>
      </c>
      <c r="AF45" s="237">
        <f t="shared" si="14"/>
        <v>0</v>
      </c>
      <c r="AG45" s="237">
        <f t="shared" si="15"/>
        <v>0.31011365000000007</v>
      </c>
      <c r="AH45" s="237">
        <f t="shared" si="16"/>
        <v>3.7761</v>
      </c>
      <c r="AI45" s="237">
        <f t="shared" si="17"/>
        <v>0</v>
      </c>
      <c r="AJ45" s="302">
        <f t="shared" ref="AJ45:BC45" si="44">AJ46+AJ47+AJ48+AJ49+AJ50+AJ51+AJ52+AJ53+AJ54+AJ55+AJ56+AJ57+AJ58+AJ59+AJ60</f>
        <v>0</v>
      </c>
      <c r="AK45" s="302">
        <f t="shared" si="44"/>
        <v>0</v>
      </c>
      <c r="AL45" s="302">
        <f t="shared" si="44"/>
        <v>0</v>
      </c>
      <c r="AM45" s="302">
        <f t="shared" si="44"/>
        <v>0</v>
      </c>
      <c r="AN45" s="302">
        <f t="shared" si="44"/>
        <v>0</v>
      </c>
      <c r="AO45" s="312">
        <f>AO46+AO47+AO48+AO49+AO50+AO51+AO52+AO53+AO54+AO55+AO56+AO57+AO58+AO59+AO60</f>
        <v>3.4094708899999997</v>
      </c>
      <c r="AP45" s="312">
        <f t="shared" si="44"/>
        <v>0</v>
      </c>
      <c r="AQ45" s="312">
        <f>SUM(AQ46:AQ60)</f>
        <v>0.27462089000000006</v>
      </c>
      <c r="AR45" s="312">
        <f>SUM(AR46:AR60)</f>
        <v>3.1348500000000001</v>
      </c>
      <c r="AS45" s="312">
        <f t="shared" si="44"/>
        <v>0</v>
      </c>
      <c r="AT45" s="287">
        <f t="shared" si="44"/>
        <v>0.67674276</v>
      </c>
      <c r="AU45" s="287">
        <f t="shared" si="44"/>
        <v>0</v>
      </c>
      <c r="AV45" s="287">
        <f t="shared" si="44"/>
        <v>3.5492759999999998E-2</v>
      </c>
      <c r="AW45" s="287">
        <f t="shared" si="44"/>
        <v>0.64124999999999999</v>
      </c>
      <c r="AX45" s="287">
        <f t="shared" si="44"/>
        <v>0</v>
      </c>
      <c r="AY45" s="270">
        <f t="shared" si="44"/>
        <v>0</v>
      </c>
      <c r="AZ45" s="270">
        <f t="shared" si="44"/>
        <v>0</v>
      </c>
      <c r="BA45" s="270">
        <f t="shared" si="44"/>
        <v>0</v>
      </c>
      <c r="BB45" s="270">
        <f t="shared" si="44"/>
        <v>0</v>
      </c>
      <c r="BC45" s="270">
        <f t="shared" si="44"/>
        <v>0</v>
      </c>
    </row>
    <row r="46" spans="1:55" s="236" customFormat="1" x14ac:dyDescent="0.2">
      <c r="A46" s="245" t="s">
        <v>909</v>
      </c>
      <c r="B46" s="246" t="s">
        <v>977</v>
      </c>
      <c r="C46" s="245" t="s">
        <v>1023</v>
      </c>
      <c r="D46" s="271">
        <v>0.28915800000000003</v>
      </c>
      <c r="E46" s="237">
        <f t="shared" si="7"/>
        <v>0.24096500000000001</v>
      </c>
      <c r="F46" s="237">
        <f t="shared" si="8"/>
        <v>0</v>
      </c>
      <c r="G46" s="237">
        <f t="shared" si="9"/>
        <v>1.4350999999999999E-2</v>
      </c>
      <c r="H46" s="237">
        <f t="shared" si="10"/>
        <v>0.21700700000000001</v>
      </c>
      <c r="I46" s="237">
        <f t="shared" si="11"/>
        <v>9.6069999999999992E-3</v>
      </c>
      <c r="J46" s="303">
        <f t="shared" ref="J46:J60" si="45">K46+L46+M46+N46</f>
        <v>0</v>
      </c>
      <c r="K46" s="303">
        <v>0</v>
      </c>
      <c r="L46" s="303">
        <v>0</v>
      </c>
      <c r="M46" s="303">
        <v>0</v>
      </c>
      <c r="N46" s="303">
        <v>0</v>
      </c>
      <c r="O46" s="288">
        <f t="shared" ref="O46:O60" si="46">P46+Q46+R46+S46</f>
        <v>0.24096500000000001</v>
      </c>
      <c r="P46" s="288">
        <v>0</v>
      </c>
      <c r="Q46" s="288">
        <v>1.4350999999999999E-2</v>
      </c>
      <c r="R46" s="288">
        <v>0.21700700000000001</v>
      </c>
      <c r="S46" s="288">
        <v>9.6069999999999992E-3</v>
      </c>
      <c r="T46" s="271">
        <v>0</v>
      </c>
      <c r="U46" s="271">
        <v>0</v>
      </c>
      <c r="V46" s="271">
        <v>0</v>
      </c>
      <c r="W46" s="271">
        <v>0</v>
      </c>
      <c r="X46" s="271">
        <v>0</v>
      </c>
      <c r="Y46" s="271">
        <v>0</v>
      </c>
      <c r="Z46" s="271">
        <v>0</v>
      </c>
      <c r="AA46" s="271">
        <v>0</v>
      </c>
      <c r="AB46" s="271">
        <v>0</v>
      </c>
      <c r="AC46" s="271">
        <v>0</v>
      </c>
      <c r="AD46" s="271">
        <f>0.289158/1.2</f>
        <v>0.24096500000000004</v>
      </c>
      <c r="AE46" s="237">
        <f t="shared" si="13"/>
        <v>0.22784770999999998</v>
      </c>
      <c r="AF46" s="237">
        <f t="shared" si="14"/>
        <v>0</v>
      </c>
      <c r="AG46" s="237">
        <f t="shared" si="15"/>
        <v>1.4097709999999999E-2</v>
      </c>
      <c r="AH46" s="237">
        <f t="shared" si="16"/>
        <v>0.21375</v>
      </c>
      <c r="AI46" s="237">
        <f t="shared" si="17"/>
        <v>0</v>
      </c>
      <c r="AJ46" s="303">
        <f t="shared" ref="AJ46:AJ60" si="47">AK46+AL46+AM46+AN46</f>
        <v>0</v>
      </c>
      <c r="AK46" s="303">
        <v>0</v>
      </c>
      <c r="AL46" s="303">
        <v>0</v>
      </c>
      <c r="AM46" s="303">
        <v>0</v>
      </c>
      <c r="AN46" s="303">
        <v>0</v>
      </c>
      <c r="AO46" s="274">
        <f t="shared" ref="AO46:AO60" si="48">AP46+AQ46+AR46+AS46</f>
        <v>0.22784770999999998</v>
      </c>
      <c r="AP46" s="271">
        <v>0</v>
      </c>
      <c r="AQ46" s="271">
        <f>14097.71/1000000</f>
        <v>1.4097709999999999E-2</v>
      </c>
      <c r="AR46" s="271">
        <v>0.21375</v>
      </c>
      <c r="AS46" s="271">
        <v>0</v>
      </c>
      <c r="AT46" s="288">
        <f t="shared" ref="AT46:AT60" si="49">AU46+AV46+AW46+AX46</f>
        <v>0</v>
      </c>
      <c r="AU46" s="288">
        <v>0</v>
      </c>
      <c r="AV46" s="288">
        <v>0</v>
      </c>
      <c r="AW46" s="288">
        <v>0</v>
      </c>
      <c r="AX46" s="288">
        <v>0</v>
      </c>
      <c r="AY46" s="271">
        <f t="shared" ref="AY46:AY60" si="50">AZ46+BA46+BB46+BC46</f>
        <v>0</v>
      </c>
      <c r="AZ46" s="271">
        <v>0</v>
      </c>
      <c r="BA46" s="271">
        <v>0</v>
      </c>
      <c r="BB46" s="271">
        <v>0</v>
      </c>
      <c r="BC46" s="271">
        <v>0</v>
      </c>
    </row>
    <row r="47" spans="1:55" s="236" customFormat="1" x14ac:dyDescent="0.2">
      <c r="A47" s="245" t="s">
        <v>910</v>
      </c>
      <c r="B47" s="246" t="s">
        <v>978</v>
      </c>
      <c r="C47" s="245" t="s">
        <v>1024</v>
      </c>
      <c r="D47" s="271">
        <v>0.18692399999999998</v>
      </c>
      <c r="E47" s="237">
        <f t="shared" si="7"/>
        <v>0.15577000000000002</v>
      </c>
      <c r="F47" s="237">
        <f t="shared" si="8"/>
        <v>0</v>
      </c>
      <c r="G47" s="237">
        <f t="shared" si="9"/>
        <v>1.1749000000000001E-2</v>
      </c>
      <c r="H47" s="237">
        <f t="shared" si="10"/>
        <v>0.13441400000000001</v>
      </c>
      <c r="I47" s="237">
        <f t="shared" si="11"/>
        <v>9.6069999999999992E-3</v>
      </c>
      <c r="J47" s="303">
        <f t="shared" si="45"/>
        <v>0</v>
      </c>
      <c r="K47" s="303">
        <v>0</v>
      </c>
      <c r="L47" s="303">
        <v>0</v>
      </c>
      <c r="M47" s="303">
        <v>0</v>
      </c>
      <c r="N47" s="303">
        <v>0</v>
      </c>
      <c r="O47" s="288">
        <f t="shared" si="46"/>
        <v>0.15577000000000002</v>
      </c>
      <c r="P47" s="288">
        <v>0</v>
      </c>
      <c r="Q47" s="288">
        <v>1.1749000000000001E-2</v>
      </c>
      <c r="R47" s="288">
        <v>0.13441400000000001</v>
      </c>
      <c r="S47" s="288">
        <v>9.6069999999999992E-3</v>
      </c>
      <c r="T47" s="271">
        <v>0</v>
      </c>
      <c r="U47" s="271">
        <v>0</v>
      </c>
      <c r="V47" s="271">
        <v>0</v>
      </c>
      <c r="W47" s="271">
        <v>0</v>
      </c>
      <c r="X47" s="271">
        <v>0</v>
      </c>
      <c r="Y47" s="271">
        <v>0</v>
      </c>
      <c r="Z47" s="271">
        <v>0</v>
      </c>
      <c r="AA47" s="271">
        <v>0</v>
      </c>
      <c r="AB47" s="271">
        <v>0</v>
      </c>
      <c r="AC47" s="271">
        <v>0</v>
      </c>
      <c r="AD47" s="271">
        <f>0.186924/1.2</f>
        <v>0.15577000000000002</v>
      </c>
      <c r="AE47" s="237">
        <f t="shared" si="13"/>
        <v>0.14758346999999999</v>
      </c>
      <c r="AF47" s="237">
        <f t="shared" si="14"/>
        <v>0</v>
      </c>
      <c r="AG47" s="237">
        <f t="shared" si="15"/>
        <v>1.5183469999999999E-2</v>
      </c>
      <c r="AH47" s="237">
        <f t="shared" si="16"/>
        <v>0.13239999999999999</v>
      </c>
      <c r="AI47" s="237">
        <f t="shared" si="17"/>
        <v>0</v>
      </c>
      <c r="AJ47" s="303">
        <f t="shared" si="47"/>
        <v>0</v>
      </c>
      <c r="AK47" s="303">
        <v>0</v>
      </c>
      <c r="AL47" s="303">
        <v>0</v>
      </c>
      <c r="AM47" s="303">
        <v>0</v>
      </c>
      <c r="AN47" s="303">
        <v>0</v>
      </c>
      <c r="AO47" s="274">
        <f t="shared" si="48"/>
        <v>0.14758346999999999</v>
      </c>
      <c r="AP47" s="271">
        <v>0</v>
      </c>
      <c r="AQ47" s="271">
        <f>15183.47/1000000</f>
        <v>1.5183469999999999E-2</v>
      </c>
      <c r="AR47" s="271">
        <f>132400/1000000</f>
        <v>0.13239999999999999</v>
      </c>
      <c r="AS47" s="271">
        <v>0</v>
      </c>
      <c r="AT47" s="288">
        <f t="shared" si="49"/>
        <v>0</v>
      </c>
      <c r="AU47" s="288">
        <v>0</v>
      </c>
      <c r="AV47" s="288">
        <v>0</v>
      </c>
      <c r="AW47" s="288">
        <v>0</v>
      </c>
      <c r="AX47" s="288">
        <v>0</v>
      </c>
      <c r="AY47" s="271">
        <f t="shared" si="50"/>
        <v>0</v>
      </c>
      <c r="AZ47" s="271">
        <v>0</v>
      </c>
      <c r="BA47" s="271">
        <v>0</v>
      </c>
      <c r="BB47" s="271">
        <v>0</v>
      </c>
      <c r="BC47" s="271">
        <v>0</v>
      </c>
    </row>
    <row r="48" spans="1:55" s="236" customFormat="1" x14ac:dyDescent="0.2">
      <c r="A48" s="245" t="s">
        <v>911</v>
      </c>
      <c r="B48" s="246" t="s">
        <v>979</v>
      </c>
      <c r="C48" s="245" t="s">
        <v>1025</v>
      </c>
      <c r="D48" s="271">
        <v>0.2348364</v>
      </c>
      <c r="E48" s="237">
        <f t="shared" si="7"/>
        <v>0.19569700000000001</v>
      </c>
      <c r="F48" s="237">
        <f t="shared" si="8"/>
        <v>0</v>
      </c>
      <c r="G48" s="237">
        <f t="shared" si="9"/>
        <v>1.1749000000000001E-2</v>
      </c>
      <c r="H48" s="237">
        <f t="shared" si="10"/>
        <v>0.174341</v>
      </c>
      <c r="I48" s="237">
        <f t="shared" si="11"/>
        <v>9.6069999999999992E-3</v>
      </c>
      <c r="J48" s="303">
        <f t="shared" si="45"/>
        <v>0</v>
      </c>
      <c r="K48" s="303">
        <v>0</v>
      </c>
      <c r="L48" s="303">
        <v>0</v>
      </c>
      <c r="M48" s="303">
        <v>0</v>
      </c>
      <c r="N48" s="303">
        <v>0</v>
      </c>
      <c r="O48" s="288">
        <f t="shared" si="46"/>
        <v>0.19569700000000001</v>
      </c>
      <c r="P48" s="288">
        <v>0</v>
      </c>
      <c r="Q48" s="288">
        <v>1.1749000000000001E-2</v>
      </c>
      <c r="R48" s="288">
        <v>0.174341</v>
      </c>
      <c r="S48" s="288">
        <v>9.6069999999999992E-3</v>
      </c>
      <c r="T48" s="271">
        <v>0</v>
      </c>
      <c r="U48" s="271">
        <v>0</v>
      </c>
      <c r="V48" s="271">
        <v>0</v>
      </c>
      <c r="W48" s="271">
        <v>0</v>
      </c>
      <c r="X48" s="271">
        <v>0</v>
      </c>
      <c r="Y48" s="271">
        <v>0</v>
      </c>
      <c r="Z48" s="271">
        <v>0</v>
      </c>
      <c r="AA48" s="271">
        <v>0</v>
      </c>
      <c r="AB48" s="271">
        <v>0</v>
      </c>
      <c r="AC48" s="271">
        <v>0</v>
      </c>
      <c r="AD48" s="271">
        <f>0.2348364/1.2</f>
        <v>0.19569700000000001</v>
      </c>
      <c r="AE48" s="237">
        <f t="shared" si="13"/>
        <v>0.18855429999999998</v>
      </c>
      <c r="AF48" s="237">
        <f t="shared" si="14"/>
        <v>0</v>
      </c>
      <c r="AG48" s="237">
        <f t="shared" si="15"/>
        <v>1.6829299999999998E-2</v>
      </c>
      <c r="AH48" s="237">
        <f t="shared" si="16"/>
        <v>0.17172499999999999</v>
      </c>
      <c r="AI48" s="237">
        <f t="shared" si="17"/>
        <v>0</v>
      </c>
      <c r="AJ48" s="303">
        <f t="shared" si="47"/>
        <v>0</v>
      </c>
      <c r="AK48" s="303">
        <v>0</v>
      </c>
      <c r="AL48" s="303">
        <v>0</v>
      </c>
      <c r="AM48" s="303">
        <v>0</v>
      </c>
      <c r="AN48" s="303">
        <v>0</v>
      </c>
      <c r="AO48" s="274">
        <f t="shared" si="48"/>
        <v>0.18855429999999998</v>
      </c>
      <c r="AP48" s="271">
        <v>0</v>
      </c>
      <c r="AQ48" s="271">
        <f>16829.3/1000000</f>
        <v>1.6829299999999998E-2</v>
      </c>
      <c r="AR48" s="271">
        <f>171725/1000000</f>
        <v>0.17172499999999999</v>
      </c>
      <c r="AS48" s="271">
        <v>0</v>
      </c>
      <c r="AT48" s="288">
        <f t="shared" si="49"/>
        <v>0</v>
      </c>
      <c r="AU48" s="288">
        <v>0</v>
      </c>
      <c r="AV48" s="288">
        <v>0</v>
      </c>
      <c r="AW48" s="288">
        <v>0</v>
      </c>
      <c r="AX48" s="288">
        <v>0</v>
      </c>
      <c r="AY48" s="271">
        <f t="shared" si="50"/>
        <v>0</v>
      </c>
      <c r="AZ48" s="271">
        <v>0</v>
      </c>
      <c r="BA48" s="271">
        <v>0</v>
      </c>
      <c r="BB48" s="271">
        <v>0</v>
      </c>
      <c r="BC48" s="271">
        <v>0</v>
      </c>
    </row>
    <row r="49" spans="1:55" s="236" customFormat="1" x14ac:dyDescent="0.2">
      <c r="A49" s="245" t="s">
        <v>943</v>
      </c>
      <c r="B49" s="246" t="s">
        <v>980</v>
      </c>
      <c r="C49" s="245" t="s">
        <v>1026</v>
      </c>
      <c r="D49" s="271">
        <v>0.28915800000000003</v>
      </c>
      <c r="E49" s="237">
        <f t="shared" si="7"/>
        <v>0.24096500000000001</v>
      </c>
      <c r="F49" s="237">
        <f t="shared" si="8"/>
        <v>0</v>
      </c>
      <c r="G49" s="237">
        <f t="shared" si="9"/>
        <v>1.4350999999999999E-2</v>
      </c>
      <c r="H49" s="237">
        <f t="shared" si="10"/>
        <v>0.21700700000000001</v>
      </c>
      <c r="I49" s="237">
        <f t="shared" si="11"/>
        <v>9.6069999999999992E-3</v>
      </c>
      <c r="J49" s="303">
        <f t="shared" si="45"/>
        <v>0</v>
      </c>
      <c r="K49" s="303">
        <v>0</v>
      </c>
      <c r="L49" s="303">
        <v>0</v>
      </c>
      <c r="M49" s="303">
        <v>0</v>
      </c>
      <c r="N49" s="303">
        <v>0</v>
      </c>
      <c r="O49" s="288">
        <f t="shared" si="46"/>
        <v>0.24096500000000001</v>
      </c>
      <c r="P49" s="288">
        <v>0</v>
      </c>
      <c r="Q49" s="288">
        <v>1.4350999999999999E-2</v>
      </c>
      <c r="R49" s="288">
        <v>0.21700700000000001</v>
      </c>
      <c r="S49" s="288">
        <v>9.6069999999999992E-3</v>
      </c>
      <c r="T49" s="271">
        <v>0</v>
      </c>
      <c r="U49" s="271">
        <v>0</v>
      </c>
      <c r="V49" s="271">
        <v>0</v>
      </c>
      <c r="W49" s="271">
        <v>0</v>
      </c>
      <c r="X49" s="271">
        <v>0</v>
      </c>
      <c r="Y49" s="271">
        <v>0</v>
      </c>
      <c r="Z49" s="271">
        <v>0</v>
      </c>
      <c r="AA49" s="271">
        <v>0</v>
      </c>
      <c r="AB49" s="271">
        <v>0</v>
      </c>
      <c r="AC49" s="271">
        <v>0</v>
      </c>
      <c r="AD49" s="271">
        <f>0.289158/1.2</f>
        <v>0.24096500000000004</v>
      </c>
      <c r="AE49" s="237">
        <f t="shared" si="13"/>
        <v>0.22324828999999999</v>
      </c>
      <c r="AF49" s="237">
        <f t="shared" si="14"/>
        <v>0</v>
      </c>
      <c r="AG49" s="237">
        <f t="shared" si="15"/>
        <v>9.4982899999999995E-3</v>
      </c>
      <c r="AH49" s="237">
        <f t="shared" si="16"/>
        <v>0.21375</v>
      </c>
      <c r="AI49" s="237">
        <f t="shared" si="17"/>
        <v>0</v>
      </c>
      <c r="AJ49" s="303">
        <f t="shared" si="47"/>
        <v>0</v>
      </c>
      <c r="AK49" s="303">
        <v>0</v>
      </c>
      <c r="AL49" s="303">
        <v>0</v>
      </c>
      <c r="AM49" s="303">
        <v>0</v>
      </c>
      <c r="AN49" s="303">
        <v>0</v>
      </c>
      <c r="AO49" s="274">
        <f t="shared" si="48"/>
        <v>0</v>
      </c>
      <c r="AP49" s="271">
        <v>0</v>
      </c>
      <c r="AQ49" s="271">
        <v>0</v>
      </c>
      <c r="AR49" s="271">
        <v>0</v>
      </c>
      <c r="AS49" s="271">
        <v>0</v>
      </c>
      <c r="AT49" s="288">
        <f t="shared" si="49"/>
        <v>0.22324828999999999</v>
      </c>
      <c r="AU49" s="288">
        <v>0</v>
      </c>
      <c r="AV49" s="288">
        <v>9.4982899999999995E-3</v>
      </c>
      <c r="AW49" s="288">
        <v>0.21375</v>
      </c>
      <c r="AX49" s="288">
        <v>0</v>
      </c>
      <c r="AY49" s="271">
        <f t="shared" si="50"/>
        <v>0</v>
      </c>
      <c r="AZ49" s="271">
        <v>0</v>
      </c>
      <c r="BA49" s="271">
        <v>0</v>
      </c>
      <c r="BB49" s="271">
        <v>0</v>
      </c>
      <c r="BC49" s="271">
        <v>0</v>
      </c>
    </row>
    <row r="50" spans="1:55" s="236" customFormat="1" x14ac:dyDescent="0.2">
      <c r="A50" s="245" t="s">
        <v>944</v>
      </c>
      <c r="B50" s="246" t="s">
        <v>981</v>
      </c>
      <c r="C50" s="245" t="s">
        <v>1027</v>
      </c>
      <c r="D50" s="271">
        <v>0.2348364</v>
      </c>
      <c r="E50" s="237">
        <f t="shared" si="7"/>
        <v>0.19569700000000001</v>
      </c>
      <c r="F50" s="237">
        <f t="shared" si="8"/>
        <v>0</v>
      </c>
      <c r="G50" s="237">
        <f t="shared" si="9"/>
        <v>1.1749000000000001E-2</v>
      </c>
      <c r="H50" s="237">
        <f t="shared" si="10"/>
        <v>0.174341</v>
      </c>
      <c r="I50" s="237">
        <f t="shared" si="11"/>
        <v>9.6069999999999992E-3</v>
      </c>
      <c r="J50" s="303">
        <f t="shared" si="45"/>
        <v>0</v>
      </c>
      <c r="K50" s="303">
        <v>0</v>
      </c>
      <c r="L50" s="303">
        <v>0</v>
      </c>
      <c r="M50" s="303">
        <v>0</v>
      </c>
      <c r="N50" s="303">
        <v>0</v>
      </c>
      <c r="O50" s="288">
        <f t="shared" si="46"/>
        <v>0.19569700000000001</v>
      </c>
      <c r="P50" s="288">
        <v>0</v>
      </c>
      <c r="Q50" s="288">
        <v>1.1749000000000001E-2</v>
      </c>
      <c r="R50" s="288">
        <v>0.174341</v>
      </c>
      <c r="S50" s="288">
        <v>9.6069999999999992E-3</v>
      </c>
      <c r="T50" s="271">
        <v>0</v>
      </c>
      <c r="U50" s="271">
        <v>0</v>
      </c>
      <c r="V50" s="271">
        <v>0</v>
      </c>
      <c r="W50" s="271">
        <v>0</v>
      </c>
      <c r="X50" s="271">
        <v>0</v>
      </c>
      <c r="Y50" s="271">
        <v>0</v>
      </c>
      <c r="Z50" s="271">
        <v>0</v>
      </c>
      <c r="AA50" s="271">
        <v>0</v>
      </c>
      <c r="AB50" s="271">
        <v>0</v>
      </c>
      <c r="AC50" s="271">
        <v>0</v>
      </c>
      <c r="AD50" s="271">
        <f>0.2348364/1.2</f>
        <v>0.19569700000000001</v>
      </c>
      <c r="AE50" s="237">
        <f t="shared" si="13"/>
        <v>0.18627502999999998</v>
      </c>
      <c r="AF50" s="237">
        <f t="shared" si="14"/>
        <v>0</v>
      </c>
      <c r="AG50" s="237">
        <f t="shared" si="15"/>
        <v>1.455003E-2</v>
      </c>
      <c r="AH50" s="237">
        <f t="shared" si="16"/>
        <v>0.17172499999999999</v>
      </c>
      <c r="AI50" s="237">
        <f t="shared" si="17"/>
        <v>0</v>
      </c>
      <c r="AJ50" s="303">
        <f t="shared" si="47"/>
        <v>0</v>
      </c>
      <c r="AK50" s="303">
        <v>0</v>
      </c>
      <c r="AL50" s="303">
        <v>0</v>
      </c>
      <c r="AM50" s="303">
        <v>0</v>
      </c>
      <c r="AN50" s="303">
        <v>0</v>
      </c>
      <c r="AO50" s="274">
        <f t="shared" si="48"/>
        <v>0.18627502999999998</v>
      </c>
      <c r="AP50" s="271">
        <v>0</v>
      </c>
      <c r="AQ50" s="271">
        <f>14550.03/1000000</f>
        <v>1.455003E-2</v>
      </c>
      <c r="AR50" s="271">
        <v>0.17172499999999999</v>
      </c>
      <c r="AS50" s="271">
        <v>0</v>
      </c>
      <c r="AT50" s="288">
        <f t="shared" si="49"/>
        <v>0</v>
      </c>
      <c r="AU50" s="288">
        <v>0</v>
      </c>
      <c r="AV50" s="288">
        <v>0</v>
      </c>
      <c r="AW50" s="288">
        <v>0</v>
      </c>
      <c r="AX50" s="288">
        <v>0</v>
      </c>
      <c r="AY50" s="271">
        <f t="shared" si="50"/>
        <v>0</v>
      </c>
      <c r="AZ50" s="271">
        <v>0</v>
      </c>
      <c r="BA50" s="271">
        <v>0</v>
      </c>
      <c r="BB50" s="271">
        <v>0</v>
      </c>
      <c r="BC50" s="271">
        <v>0</v>
      </c>
    </row>
    <row r="51" spans="1:55" s="236" customFormat="1" x14ac:dyDescent="0.2">
      <c r="A51" s="245" t="s">
        <v>945</v>
      </c>
      <c r="B51" s="246" t="s">
        <v>982</v>
      </c>
      <c r="C51" s="245" t="s">
        <v>1028</v>
      </c>
      <c r="D51" s="271">
        <v>0.2348364</v>
      </c>
      <c r="E51" s="237">
        <f t="shared" si="7"/>
        <v>0.19569700000000001</v>
      </c>
      <c r="F51" s="237">
        <f t="shared" si="8"/>
        <v>0</v>
      </c>
      <c r="G51" s="237">
        <f t="shared" si="9"/>
        <v>1.1749000000000001E-2</v>
      </c>
      <c r="H51" s="237">
        <f t="shared" si="10"/>
        <v>0.174341</v>
      </c>
      <c r="I51" s="237">
        <f t="shared" si="11"/>
        <v>9.6069999999999992E-3</v>
      </c>
      <c r="J51" s="303">
        <f t="shared" si="45"/>
        <v>0</v>
      </c>
      <c r="K51" s="303">
        <v>0</v>
      </c>
      <c r="L51" s="303">
        <v>0</v>
      </c>
      <c r="M51" s="303">
        <v>0</v>
      </c>
      <c r="N51" s="303">
        <v>0</v>
      </c>
      <c r="O51" s="288">
        <f t="shared" si="46"/>
        <v>0.19569700000000001</v>
      </c>
      <c r="P51" s="288">
        <v>0</v>
      </c>
      <c r="Q51" s="288">
        <v>1.1749000000000001E-2</v>
      </c>
      <c r="R51" s="288">
        <v>0.174341</v>
      </c>
      <c r="S51" s="288">
        <v>9.6069999999999992E-3</v>
      </c>
      <c r="T51" s="271">
        <v>0</v>
      </c>
      <c r="U51" s="271">
        <v>0</v>
      </c>
      <c r="V51" s="271">
        <v>0</v>
      </c>
      <c r="W51" s="271">
        <v>0</v>
      </c>
      <c r="X51" s="271">
        <v>0</v>
      </c>
      <c r="Y51" s="271">
        <v>0</v>
      </c>
      <c r="Z51" s="271">
        <v>0</v>
      </c>
      <c r="AA51" s="271">
        <v>0</v>
      </c>
      <c r="AB51" s="271">
        <v>0</v>
      </c>
      <c r="AC51" s="271">
        <v>0</v>
      </c>
      <c r="AD51" s="271">
        <f>0.2348364/1.2</f>
        <v>0.19569700000000001</v>
      </c>
      <c r="AE51" s="237">
        <f t="shared" si="13"/>
        <v>0.18837938999999998</v>
      </c>
      <c r="AF51" s="237">
        <f t="shared" si="14"/>
        <v>0</v>
      </c>
      <c r="AG51" s="237">
        <f t="shared" si="15"/>
        <v>1.6654389999999998E-2</v>
      </c>
      <c r="AH51" s="237">
        <f t="shared" si="16"/>
        <v>0.17172499999999999</v>
      </c>
      <c r="AI51" s="237">
        <f t="shared" si="17"/>
        <v>0</v>
      </c>
      <c r="AJ51" s="303">
        <f t="shared" si="47"/>
        <v>0</v>
      </c>
      <c r="AK51" s="303">
        <v>0</v>
      </c>
      <c r="AL51" s="303">
        <v>0</v>
      </c>
      <c r="AM51" s="303">
        <v>0</v>
      </c>
      <c r="AN51" s="303">
        <v>0</v>
      </c>
      <c r="AO51" s="274">
        <f t="shared" si="48"/>
        <v>0.18837938999999998</v>
      </c>
      <c r="AP51" s="271">
        <v>0</v>
      </c>
      <c r="AQ51" s="271">
        <f>16654.39/1000000</f>
        <v>1.6654389999999998E-2</v>
      </c>
      <c r="AR51" s="271">
        <v>0.17172499999999999</v>
      </c>
      <c r="AS51" s="271">
        <v>0</v>
      </c>
      <c r="AT51" s="288">
        <f t="shared" si="49"/>
        <v>0</v>
      </c>
      <c r="AU51" s="288">
        <v>0</v>
      </c>
      <c r="AV51" s="288">
        <v>0</v>
      </c>
      <c r="AW51" s="288">
        <v>0</v>
      </c>
      <c r="AX51" s="288">
        <v>0</v>
      </c>
      <c r="AY51" s="271">
        <f t="shared" si="50"/>
        <v>0</v>
      </c>
      <c r="AZ51" s="271">
        <v>0</v>
      </c>
      <c r="BA51" s="271">
        <v>0</v>
      </c>
      <c r="BB51" s="271">
        <v>0</v>
      </c>
      <c r="BC51" s="271">
        <v>0</v>
      </c>
    </row>
    <row r="52" spans="1:55" s="236" customFormat="1" ht="11.25" customHeight="1" x14ac:dyDescent="0.2">
      <c r="A52" s="245" t="s">
        <v>946</v>
      </c>
      <c r="B52" s="246" t="s">
        <v>983</v>
      </c>
      <c r="C52" s="245" t="s">
        <v>1029</v>
      </c>
      <c r="D52" s="271">
        <v>0.28915800000000003</v>
      </c>
      <c r="E52" s="237">
        <f t="shared" si="7"/>
        <v>0.24096500000000001</v>
      </c>
      <c r="F52" s="237">
        <f t="shared" si="8"/>
        <v>0</v>
      </c>
      <c r="G52" s="237">
        <f t="shared" si="9"/>
        <v>1.4350999999999999E-2</v>
      </c>
      <c r="H52" s="237">
        <f t="shared" si="10"/>
        <v>0.21700700000000001</v>
      </c>
      <c r="I52" s="237">
        <f t="shared" si="11"/>
        <v>9.6069999999999992E-3</v>
      </c>
      <c r="J52" s="303">
        <f t="shared" si="45"/>
        <v>0</v>
      </c>
      <c r="K52" s="303">
        <v>0</v>
      </c>
      <c r="L52" s="303">
        <v>0</v>
      </c>
      <c r="M52" s="303">
        <v>0</v>
      </c>
      <c r="N52" s="303">
        <v>0</v>
      </c>
      <c r="O52" s="288">
        <f t="shared" si="46"/>
        <v>0.24096500000000001</v>
      </c>
      <c r="P52" s="288">
        <v>0</v>
      </c>
      <c r="Q52" s="288">
        <v>1.4350999999999999E-2</v>
      </c>
      <c r="R52" s="288">
        <v>0.21700700000000001</v>
      </c>
      <c r="S52" s="288">
        <v>9.6069999999999992E-3</v>
      </c>
      <c r="T52" s="271">
        <v>0</v>
      </c>
      <c r="U52" s="271">
        <v>0</v>
      </c>
      <c r="V52" s="271">
        <v>0</v>
      </c>
      <c r="W52" s="271">
        <v>0</v>
      </c>
      <c r="X52" s="271">
        <v>0</v>
      </c>
      <c r="Y52" s="271">
        <v>0</v>
      </c>
      <c r="Z52" s="271">
        <v>0</v>
      </c>
      <c r="AA52" s="271">
        <v>0</v>
      </c>
      <c r="AB52" s="271">
        <v>0</v>
      </c>
      <c r="AC52" s="271">
        <v>0</v>
      </c>
      <c r="AD52" s="271">
        <f>0.289158/1.2</f>
        <v>0.24096500000000004</v>
      </c>
      <c r="AE52" s="237">
        <f t="shared" si="13"/>
        <v>0.22862843999999999</v>
      </c>
      <c r="AF52" s="237">
        <f t="shared" si="14"/>
        <v>0</v>
      </c>
      <c r="AG52" s="237">
        <f t="shared" si="15"/>
        <v>1.487844E-2</v>
      </c>
      <c r="AH52" s="237">
        <f t="shared" si="16"/>
        <v>0.21375</v>
      </c>
      <c r="AI52" s="237">
        <f t="shared" si="17"/>
        <v>0</v>
      </c>
      <c r="AJ52" s="303">
        <f t="shared" si="47"/>
        <v>0</v>
      </c>
      <c r="AK52" s="303">
        <v>0</v>
      </c>
      <c r="AL52" s="303">
        <v>0</v>
      </c>
      <c r="AM52" s="303">
        <v>0</v>
      </c>
      <c r="AN52" s="303">
        <v>0</v>
      </c>
      <c r="AO52" s="274">
        <f t="shared" si="48"/>
        <v>0</v>
      </c>
      <c r="AP52" s="271">
        <v>0</v>
      </c>
      <c r="AQ52" s="271">
        <v>0</v>
      </c>
      <c r="AR52" s="271">
        <v>0</v>
      </c>
      <c r="AS52" s="271">
        <v>0</v>
      </c>
      <c r="AT52" s="288">
        <f t="shared" si="49"/>
        <v>0.22862843999999999</v>
      </c>
      <c r="AU52" s="288">
        <v>0</v>
      </c>
      <c r="AV52" s="288">
        <v>1.487844E-2</v>
      </c>
      <c r="AW52" s="288">
        <v>0.21375</v>
      </c>
      <c r="AX52" s="288">
        <v>0</v>
      </c>
      <c r="AY52" s="271">
        <f t="shared" si="50"/>
        <v>0</v>
      </c>
      <c r="AZ52" s="271">
        <v>0</v>
      </c>
      <c r="BA52" s="271">
        <v>0</v>
      </c>
      <c r="BB52" s="271">
        <v>0</v>
      </c>
      <c r="BC52" s="271">
        <v>0</v>
      </c>
    </row>
    <row r="53" spans="1:55" s="236" customFormat="1" ht="12.75" customHeight="1" x14ac:dyDescent="0.2">
      <c r="A53" s="245" t="s">
        <v>947</v>
      </c>
      <c r="B53" s="246" t="s">
        <v>984</v>
      </c>
      <c r="C53" s="245" t="s">
        <v>1030</v>
      </c>
      <c r="D53" s="271">
        <v>0.2348364</v>
      </c>
      <c r="E53" s="237">
        <f t="shared" si="7"/>
        <v>0.19569700000000001</v>
      </c>
      <c r="F53" s="237">
        <f t="shared" si="8"/>
        <v>0</v>
      </c>
      <c r="G53" s="237">
        <f t="shared" si="9"/>
        <v>1.1749000000000001E-2</v>
      </c>
      <c r="H53" s="237">
        <f t="shared" si="10"/>
        <v>0.174341</v>
      </c>
      <c r="I53" s="237">
        <f t="shared" si="11"/>
        <v>9.6069999999999992E-3</v>
      </c>
      <c r="J53" s="303">
        <f t="shared" si="45"/>
        <v>0</v>
      </c>
      <c r="K53" s="303">
        <v>0</v>
      </c>
      <c r="L53" s="303">
        <v>0</v>
      </c>
      <c r="M53" s="303">
        <v>0</v>
      </c>
      <c r="N53" s="303">
        <v>0</v>
      </c>
      <c r="O53" s="288">
        <f t="shared" si="46"/>
        <v>0.19569700000000001</v>
      </c>
      <c r="P53" s="288">
        <v>0</v>
      </c>
      <c r="Q53" s="288">
        <v>1.1749000000000001E-2</v>
      </c>
      <c r="R53" s="288">
        <v>0.174341</v>
      </c>
      <c r="S53" s="288">
        <v>9.6069999999999992E-3</v>
      </c>
      <c r="T53" s="271">
        <v>0</v>
      </c>
      <c r="U53" s="271">
        <v>0</v>
      </c>
      <c r="V53" s="271">
        <v>0</v>
      </c>
      <c r="W53" s="271">
        <v>0</v>
      </c>
      <c r="X53" s="271">
        <v>0</v>
      </c>
      <c r="Y53" s="271">
        <v>0</v>
      </c>
      <c r="Z53" s="271">
        <v>0</v>
      </c>
      <c r="AA53" s="271">
        <v>0</v>
      </c>
      <c r="AB53" s="271">
        <v>0</v>
      </c>
      <c r="AC53" s="271">
        <v>0</v>
      </c>
      <c r="AD53" s="271">
        <f>0.2348364/1.2</f>
        <v>0.19569700000000001</v>
      </c>
      <c r="AE53" s="237">
        <f t="shared" si="13"/>
        <v>0.18868449999999998</v>
      </c>
      <c r="AF53" s="237">
        <f t="shared" si="14"/>
        <v>0</v>
      </c>
      <c r="AG53" s="237">
        <f t="shared" si="15"/>
        <v>1.6959499999999999E-2</v>
      </c>
      <c r="AH53" s="237">
        <f t="shared" si="16"/>
        <v>0.17172499999999999</v>
      </c>
      <c r="AI53" s="237">
        <f t="shared" si="17"/>
        <v>0</v>
      </c>
      <c r="AJ53" s="303">
        <f t="shared" si="47"/>
        <v>0</v>
      </c>
      <c r="AK53" s="303">
        <v>0</v>
      </c>
      <c r="AL53" s="303">
        <v>0</v>
      </c>
      <c r="AM53" s="303">
        <v>0</v>
      </c>
      <c r="AN53" s="303">
        <v>0</v>
      </c>
      <c r="AO53" s="274">
        <f t="shared" si="48"/>
        <v>0.18868449999999998</v>
      </c>
      <c r="AP53" s="271">
        <v>0</v>
      </c>
      <c r="AQ53" s="271">
        <f>16959.5/1000000</f>
        <v>1.6959499999999999E-2</v>
      </c>
      <c r="AR53" s="271">
        <v>0.17172499999999999</v>
      </c>
      <c r="AS53" s="271">
        <v>0</v>
      </c>
      <c r="AT53" s="288">
        <f t="shared" si="49"/>
        <v>0</v>
      </c>
      <c r="AU53" s="288">
        <v>0</v>
      </c>
      <c r="AV53" s="288">
        <v>0</v>
      </c>
      <c r="AW53" s="288">
        <v>0</v>
      </c>
      <c r="AX53" s="288">
        <v>0</v>
      </c>
      <c r="AY53" s="271">
        <f t="shared" si="50"/>
        <v>0</v>
      </c>
      <c r="AZ53" s="271">
        <v>0</v>
      </c>
      <c r="BA53" s="271">
        <v>0</v>
      </c>
      <c r="BB53" s="271">
        <v>0</v>
      </c>
      <c r="BC53" s="271">
        <v>0</v>
      </c>
    </row>
    <row r="54" spans="1:55" s="236" customFormat="1" x14ac:dyDescent="0.2">
      <c r="A54" s="245" t="s">
        <v>948</v>
      </c>
      <c r="B54" s="246" t="s">
        <v>985</v>
      </c>
      <c r="C54" s="245" t="s">
        <v>1031</v>
      </c>
      <c r="D54" s="271">
        <v>0.28915800000000003</v>
      </c>
      <c r="E54" s="237">
        <f t="shared" si="7"/>
        <v>0.24096500000000001</v>
      </c>
      <c r="F54" s="237">
        <f t="shared" si="8"/>
        <v>0</v>
      </c>
      <c r="G54" s="237">
        <f t="shared" si="9"/>
        <v>1.4350999999999999E-2</v>
      </c>
      <c r="H54" s="237">
        <f t="shared" si="10"/>
        <v>0.21700700000000001</v>
      </c>
      <c r="I54" s="237">
        <f t="shared" si="11"/>
        <v>9.6069999999999992E-3</v>
      </c>
      <c r="J54" s="303">
        <f t="shared" si="45"/>
        <v>0</v>
      </c>
      <c r="K54" s="303">
        <v>0</v>
      </c>
      <c r="L54" s="303">
        <v>0</v>
      </c>
      <c r="M54" s="303">
        <v>0</v>
      </c>
      <c r="N54" s="303">
        <v>0</v>
      </c>
      <c r="O54" s="288">
        <f t="shared" si="46"/>
        <v>0.24096500000000001</v>
      </c>
      <c r="P54" s="288">
        <v>0</v>
      </c>
      <c r="Q54" s="288">
        <v>1.4350999999999999E-2</v>
      </c>
      <c r="R54" s="288">
        <v>0.21700700000000001</v>
      </c>
      <c r="S54" s="288">
        <v>9.6069999999999992E-3</v>
      </c>
      <c r="T54" s="271">
        <v>0</v>
      </c>
      <c r="U54" s="271">
        <v>0</v>
      </c>
      <c r="V54" s="271">
        <v>0</v>
      </c>
      <c r="W54" s="271">
        <v>0</v>
      </c>
      <c r="X54" s="271">
        <v>0</v>
      </c>
      <c r="Y54" s="271">
        <v>0</v>
      </c>
      <c r="Z54" s="271">
        <v>0</v>
      </c>
      <c r="AA54" s="271">
        <v>0</v>
      </c>
      <c r="AB54" s="271">
        <v>0</v>
      </c>
      <c r="AC54" s="271">
        <v>0</v>
      </c>
      <c r="AD54" s="271">
        <f>0.289158/1.2</f>
        <v>0.24096500000000004</v>
      </c>
      <c r="AE54" s="237">
        <f t="shared" si="13"/>
        <v>0.22866793999999999</v>
      </c>
      <c r="AF54" s="237">
        <f t="shared" si="14"/>
        <v>0</v>
      </c>
      <c r="AG54" s="237">
        <f t="shared" si="15"/>
        <v>1.4917940000000001E-2</v>
      </c>
      <c r="AH54" s="237">
        <f t="shared" si="16"/>
        <v>0.21375</v>
      </c>
      <c r="AI54" s="237">
        <f t="shared" si="17"/>
        <v>0</v>
      </c>
      <c r="AJ54" s="303">
        <f t="shared" si="47"/>
        <v>0</v>
      </c>
      <c r="AK54" s="303">
        <v>0</v>
      </c>
      <c r="AL54" s="303">
        <v>0</v>
      </c>
      <c r="AM54" s="303">
        <v>0</v>
      </c>
      <c r="AN54" s="303">
        <v>0</v>
      </c>
      <c r="AO54" s="274">
        <f t="shared" si="48"/>
        <v>0.22866793999999999</v>
      </c>
      <c r="AP54" s="271">
        <v>0</v>
      </c>
      <c r="AQ54" s="271">
        <f>14917.94/1000000</f>
        <v>1.4917940000000001E-2</v>
      </c>
      <c r="AR54" s="271">
        <v>0.21375</v>
      </c>
      <c r="AS54" s="271">
        <v>0</v>
      </c>
      <c r="AT54" s="288">
        <f t="shared" si="49"/>
        <v>0</v>
      </c>
      <c r="AU54" s="288">
        <v>0</v>
      </c>
      <c r="AV54" s="288">
        <v>0</v>
      </c>
      <c r="AW54" s="288">
        <v>0</v>
      </c>
      <c r="AX54" s="288">
        <v>0</v>
      </c>
      <c r="AY54" s="271">
        <f t="shared" si="50"/>
        <v>0</v>
      </c>
      <c r="AZ54" s="271">
        <v>0</v>
      </c>
      <c r="BA54" s="271">
        <v>0</v>
      </c>
      <c r="BB54" s="271">
        <v>0</v>
      </c>
      <c r="BC54" s="271">
        <v>0</v>
      </c>
    </row>
    <row r="55" spans="1:55" s="236" customFormat="1" x14ac:dyDescent="0.2">
      <c r="A55" s="245" t="s">
        <v>949</v>
      </c>
      <c r="B55" s="246" t="s">
        <v>986</v>
      </c>
      <c r="C55" s="245" t="s">
        <v>1032</v>
      </c>
      <c r="D55" s="271">
        <v>0.18692399999999998</v>
      </c>
      <c r="E55" s="237">
        <f t="shared" si="7"/>
        <v>0.15577000000000002</v>
      </c>
      <c r="F55" s="237">
        <f t="shared" si="8"/>
        <v>0</v>
      </c>
      <c r="G55" s="237">
        <f t="shared" si="9"/>
        <v>1.1749000000000001E-2</v>
      </c>
      <c r="H55" s="237">
        <f t="shared" si="10"/>
        <v>0.13441400000000001</v>
      </c>
      <c r="I55" s="237">
        <f t="shared" si="11"/>
        <v>9.6069999999999992E-3</v>
      </c>
      <c r="J55" s="303">
        <f t="shared" si="45"/>
        <v>0</v>
      </c>
      <c r="K55" s="303">
        <v>0</v>
      </c>
      <c r="L55" s="303">
        <v>0</v>
      </c>
      <c r="M55" s="303">
        <v>0</v>
      </c>
      <c r="N55" s="303">
        <v>0</v>
      </c>
      <c r="O55" s="288">
        <f t="shared" si="46"/>
        <v>0.15577000000000002</v>
      </c>
      <c r="P55" s="288">
        <v>0</v>
      </c>
      <c r="Q55" s="288">
        <v>1.1749000000000001E-2</v>
      </c>
      <c r="R55" s="288">
        <v>0.13441400000000001</v>
      </c>
      <c r="S55" s="288">
        <v>9.6069999999999992E-3</v>
      </c>
      <c r="T55" s="271">
        <v>0</v>
      </c>
      <c r="U55" s="271">
        <v>0</v>
      </c>
      <c r="V55" s="271">
        <v>0</v>
      </c>
      <c r="W55" s="271">
        <v>0</v>
      </c>
      <c r="X55" s="271">
        <v>0</v>
      </c>
      <c r="Y55" s="271">
        <v>0</v>
      </c>
      <c r="Z55" s="271">
        <v>0</v>
      </c>
      <c r="AA55" s="271">
        <v>0</v>
      </c>
      <c r="AB55" s="271">
        <v>0</v>
      </c>
      <c r="AC55" s="271">
        <v>0</v>
      </c>
      <c r="AD55" s="271">
        <f>0.186924/1.2</f>
        <v>0.15577000000000002</v>
      </c>
      <c r="AE55" s="237">
        <f t="shared" si="13"/>
        <v>0.14946100999999998</v>
      </c>
      <c r="AF55" s="237">
        <f t="shared" si="14"/>
        <v>0</v>
      </c>
      <c r="AG55" s="237">
        <f t="shared" si="15"/>
        <v>1.7061009999999998E-2</v>
      </c>
      <c r="AH55" s="237">
        <f t="shared" si="16"/>
        <v>0.13239999999999999</v>
      </c>
      <c r="AI55" s="237">
        <f t="shared" si="17"/>
        <v>0</v>
      </c>
      <c r="AJ55" s="303">
        <f t="shared" si="47"/>
        <v>0</v>
      </c>
      <c r="AK55" s="303">
        <v>0</v>
      </c>
      <c r="AL55" s="303">
        <v>0</v>
      </c>
      <c r="AM55" s="303">
        <v>0</v>
      </c>
      <c r="AN55" s="303">
        <v>0</v>
      </c>
      <c r="AO55" s="274">
        <f t="shared" si="48"/>
        <v>0.14946100999999998</v>
      </c>
      <c r="AP55" s="271">
        <v>0</v>
      </c>
      <c r="AQ55" s="271">
        <f>17061.01/1000000</f>
        <v>1.7061009999999998E-2</v>
      </c>
      <c r="AR55" s="271">
        <f>132400/1000000</f>
        <v>0.13239999999999999</v>
      </c>
      <c r="AS55" s="271">
        <v>0</v>
      </c>
      <c r="AT55" s="288">
        <f t="shared" si="49"/>
        <v>0</v>
      </c>
      <c r="AU55" s="288">
        <v>0</v>
      </c>
      <c r="AV55" s="288">
        <v>0</v>
      </c>
      <c r="AW55" s="288">
        <v>0</v>
      </c>
      <c r="AX55" s="288">
        <v>0</v>
      </c>
      <c r="AY55" s="271">
        <f t="shared" si="50"/>
        <v>0</v>
      </c>
      <c r="AZ55" s="271">
        <v>0</v>
      </c>
      <c r="BA55" s="271">
        <v>0</v>
      </c>
      <c r="BB55" s="271">
        <v>0</v>
      </c>
      <c r="BC55" s="271">
        <v>0</v>
      </c>
    </row>
    <row r="56" spans="1:55" s="236" customFormat="1" ht="11.25" customHeight="1" x14ac:dyDescent="0.2">
      <c r="A56" s="245" t="s">
        <v>950</v>
      </c>
      <c r="B56" s="246" t="s">
        <v>987</v>
      </c>
      <c r="C56" s="245" t="s">
        <v>1033</v>
      </c>
      <c r="D56" s="271">
        <v>0.57831600000000005</v>
      </c>
      <c r="E56" s="237">
        <f t="shared" si="7"/>
        <v>0.48189900000000002</v>
      </c>
      <c r="F56" s="237">
        <f t="shared" si="8"/>
        <v>0</v>
      </c>
      <c r="G56" s="237">
        <f t="shared" si="9"/>
        <v>2.87E-2</v>
      </c>
      <c r="H56" s="237">
        <f t="shared" si="10"/>
        <v>0.43401000000000001</v>
      </c>
      <c r="I56" s="237">
        <f t="shared" si="11"/>
        <v>1.9189000000000001E-2</v>
      </c>
      <c r="J56" s="303">
        <f t="shared" si="45"/>
        <v>0</v>
      </c>
      <c r="K56" s="303">
        <v>0</v>
      </c>
      <c r="L56" s="303">
        <v>0</v>
      </c>
      <c r="M56" s="303">
        <v>0</v>
      </c>
      <c r="N56" s="303">
        <v>0</v>
      </c>
      <c r="O56" s="288">
        <f t="shared" si="46"/>
        <v>0.48189900000000002</v>
      </c>
      <c r="P56" s="288">
        <v>0</v>
      </c>
      <c r="Q56" s="288">
        <v>2.87E-2</v>
      </c>
      <c r="R56" s="288">
        <v>0.43401000000000001</v>
      </c>
      <c r="S56" s="288">
        <v>1.9189000000000001E-2</v>
      </c>
      <c r="T56" s="271">
        <v>0</v>
      </c>
      <c r="U56" s="271">
        <v>0</v>
      </c>
      <c r="V56" s="271">
        <v>0</v>
      </c>
      <c r="W56" s="271">
        <v>0</v>
      </c>
      <c r="X56" s="271">
        <v>0</v>
      </c>
      <c r="Y56" s="271">
        <v>0</v>
      </c>
      <c r="Z56" s="271">
        <v>0</v>
      </c>
      <c r="AA56" s="271">
        <v>0</v>
      </c>
      <c r="AB56" s="271">
        <v>0</v>
      </c>
      <c r="AC56" s="271">
        <v>0</v>
      </c>
      <c r="AD56" s="271">
        <f>0.578316/1.2</f>
        <v>0.48193000000000008</v>
      </c>
      <c r="AE56" s="237">
        <f t="shared" si="13"/>
        <v>0.45672962</v>
      </c>
      <c r="AF56" s="237">
        <f t="shared" si="14"/>
        <v>0</v>
      </c>
      <c r="AG56" s="237">
        <f t="shared" si="15"/>
        <v>2.9229620000000001E-2</v>
      </c>
      <c r="AH56" s="237">
        <f t="shared" si="16"/>
        <v>0.42749999999999999</v>
      </c>
      <c r="AI56" s="237">
        <f t="shared" si="17"/>
        <v>0</v>
      </c>
      <c r="AJ56" s="303">
        <f t="shared" si="47"/>
        <v>0</v>
      </c>
      <c r="AK56" s="303">
        <v>0</v>
      </c>
      <c r="AL56" s="303">
        <v>0</v>
      </c>
      <c r="AM56" s="303">
        <v>0</v>
      </c>
      <c r="AN56" s="303">
        <v>0</v>
      </c>
      <c r="AO56" s="274">
        <f t="shared" si="48"/>
        <v>0.45672962</v>
      </c>
      <c r="AP56" s="271">
        <v>0</v>
      </c>
      <c r="AQ56" s="271">
        <f>(15551.42+13678.2)/1000000</f>
        <v>2.9229620000000001E-2</v>
      </c>
      <c r="AR56" s="271">
        <f>213750/1000000*2</f>
        <v>0.42749999999999999</v>
      </c>
      <c r="AS56" s="271">
        <v>0</v>
      </c>
      <c r="AT56" s="288">
        <f t="shared" si="49"/>
        <v>0</v>
      </c>
      <c r="AU56" s="288">
        <v>0</v>
      </c>
      <c r="AV56" s="288">
        <v>0</v>
      </c>
      <c r="AW56" s="288">
        <v>0</v>
      </c>
      <c r="AX56" s="288">
        <v>0</v>
      </c>
      <c r="AY56" s="271">
        <f t="shared" si="50"/>
        <v>0</v>
      </c>
      <c r="AZ56" s="271">
        <v>0</v>
      </c>
      <c r="BA56" s="271">
        <v>0</v>
      </c>
      <c r="BB56" s="271">
        <v>0</v>
      </c>
      <c r="BC56" s="271">
        <v>0</v>
      </c>
    </row>
    <row r="57" spans="1:55" s="236" customFormat="1" x14ac:dyDescent="0.2">
      <c r="A57" s="245" t="s">
        <v>951</v>
      </c>
      <c r="B57" s="246" t="s">
        <v>988</v>
      </c>
      <c r="C57" s="245" t="s">
        <v>1034</v>
      </c>
      <c r="D57" s="271">
        <v>0.4696728</v>
      </c>
      <c r="E57" s="237">
        <f t="shared" si="7"/>
        <v>0.39134800000000003</v>
      </c>
      <c r="F57" s="237">
        <f t="shared" si="8"/>
        <v>0</v>
      </c>
      <c r="G57" s="237">
        <f t="shared" si="9"/>
        <v>2.3477000000000001E-2</v>
      </c>
      <c r="H57" s="237">
        <f t="shared" si="10"/>
        <v>0.34868199999999999</v>
      </c>
      <c r="I57" s="237">
        <f t="shared" si="11"/>
        <v>1.9189000000000001E-2</v>
      </c>
      <c r="J57" s="303">
        <f t="shared" si="45"/>
        <v>0</v>
      </c>
      <c r="K57" s="303">
        <v>0</v>
      </c>
      <c r="L57" s="303">
        <v>0</v>
      </c>
      <c r="M57" s="303">
        <v>0</v>
      </c>
      <c r="N57" s="303">
        <v>0</v>
      </c>
      <c r="O57" s="288">
        <f t="shared" si="46"/>
        <v>0.39134800000000003</v>
      </c>
      <c r="P57" s="288">
        <v>0</v>
      </c>
      <c r="Q57" s="288">
        <v>2.3477000000000001E-2</v>
      </c>
      <c r="R57" s="288">
        <v>0.34868199999999999</v>
      </c>
      <c r="S57" s="288">
        <v>1.9189000000000001E-2</v>
      </c>
      <c r="T57" s="271">
        <v>0</v>
      </c>
      <c r="U57" s="271">
        <v>0</v>
      </c>
      <c r="V57" s="271">
        <v>0</v>
      </c>
      <c r="W57" s="271">
        <v>0</v>
      </c>
      <c r="X57" s="271">
        <v>0</v>
      </c>
      <c r="Y57" s="271">
        <v>0</v>
      </c>
      <c r="Z57" s="271">
        <v>0</v>
      </c>
      <c r="AA57" s="271">
        <v>0</v>
      </c>
      <c r="AB57" s="271">
        <v>0</v>
      </c>
      <c r="AC57" s="271">
        <v>0</v>
      </c>
      <c r="AD57" s="271">
        <f>0.4696728/1.2</f>
        <v>0.39139400000000002</v>
      </c>
      <c r="AE57" s="237">
        <f t="shared" si="13"/>
        <v>0.37594843999999999</v>
      </c>
      <c r="AF57" s="237">
        <f t="shared" si="14"/>
        <v>0</v>
      </c>
      <c r="AG57" s="237">
        <f t="shared" si="15"/>
        <v>3.2498440000000003E-2</v>
      </c>
      <c r="AH57" s="237">
        <f t="shared" si="16"/>
        <v>0.34344999999999998</v>
      </c>
      <c r="AI57" s="237">
        <f t="shared" si="17"/>
        <v>0</v>
      </c>
      <c r="AJ57" s="303">
        <f t="shared" si="47"/>
        <v>0</v>
      </c>
      <c r="AK57" s="303">
        <v>0</v>
      </c>
      <c r="AL57" s="303">
        <v>0</v>
      </c>
      <c r="AM57" s="303">
        <v>0</v>
      </c>
      <c r="AN57" s="303">
        <v>0</v>
      </c>
      <c r="AO57" s="274">
        <f t="shared" si="48"/>
        <v>0.37594843999999999</v>
      </c>
      <c r="AP57" s="271">
        <v>0</v>
      </c>
      <c r="AQ57" s="271">
        <f>(19746.2+12752.24)/1000000</f>
        <v>3.2498440000000003E-2</v>
      </c>
      <c r="AR57" s="271">
        <f>0.171725*2</f>
        <v>0.34344999999999998</v>
      </c>
      <c r="AS57" s="271">
        <v>0</v>
      </c>
      <c r="AT57" s="288">
        <f t="shared" si="49"/>
        <v>0</v>
      </c>
      <c r="AU57" s="288">
        <v>0</v>
      </c>
      <c r="AV57" s="288">
        <v>0</v>
      </c>
      <c r="AW57" s="288">
        <v>0</v>
      </c>
      <c r="AX57" s="288">
        <v>0</v>
      </c>
      <c r="AY57" s="271">
        <f t="shared" si="50"/>
        <v>0</v>
      </c>
      <c r="AZ57" s="271">
        <v>0</v>
      </c>
      <c r="BA57" s="271">
        <v>0</v>
      </c>
      <c r="BB57" s="271">
        <v>0</v>
      </c>
      <c r="BC57" s="271">
        <v>0</v>
      </c>
    </row>
    <row r="58" spans="1:55" s="236" customFormat="1" x14ac:dyDescent="0.2">
      <c r="A58" s="245" t="s">
        <v>952</v>
      </c>
      <c r="B58" s="246" t="s">
        <v>989</v>
      </c>
      <c r="C58" s="245" t="s">
        <v>1035</v>
      </c>
      <c r="D58" s="271">
        <v>0.4696728</v>
      </c>
      <c r="E58" s="237">
        <f t="shared" si="7"/>
        <v>0.39134800000000003</v>
      </c>
      <c r="F58" s="237">
        <f t="shared" si="8"/>
        <v>0</v>
      </c>
      <c r="G58" s="237">
        <f t="shared" si="9"/>
        <v>2.3477000000000001E-2</v>
      </c>
      <c r="H58" s="237">
        <f t="shared" si="10"/>
        <v>0.34868199999999999</v>
      </c>
      <c r="I58" s="237">
        <f t="shared" si="11"/>
        <v>1.9189000000000001E-2</v>
      </c>
      <c r="J58" s="303">
        <f t="shared" si="45"/>
        <v>0</v>
      </c>
      <c r="K58" s="303">
        <v>0</v>
      </c>
      <c r="L58" s="303">
        <v>0</v>
      </c>
      <c r="M58" s="303">
        <v>0</v>
      </c>
      <c r="N58" s="303">
        <v>0</v>
      </c>
      <c r="O58" s="288">
        <f t="shared" si="46"/>
        <v>0.39134800000000003</v>
      </c>
      <c r="P58" s="288">
        <v>0</v>
      </c>
      <c r="Q58" s="288">
        <v>2.3477000000000001E-2</v>
      </c>
      <c r="R58" s="288">
        <v>0.34868199999999999</v>
      </c>
      <c r="S58" s="288">
        <v>1.9189000000000001E-2</v>
      </c>
      <c r="T58" s="271">
        <v>0</v>
      </c>
      <c r="U58" s="271">
        <v>0</v>
      </c>
      <c r="V58" s="271">
        <v>0</v>
      </c>
      <c r="W58" s="271">
        <v>0</v>
      </c>
      <c r="X58" s="271">
        <v>0</v>
      </c>
      <c r="Y58" s="271">
        <v>0</v>
      </c>
      <c r="Z58" s="271">
        <v>0</v>
      </c>
      <c r="AA58" s="271">
        <v>0</v>
      </c>
      <c r="AB58" s="271">
        <v>0</v>
      </c>
      <c r="AC58" s="271">
        <v>0</v>
      </c>
      <c r="AD58" s="271">
        <f>0.4696728/1.2</f>
        <v>0.39139400000000002</v>
      </c>
      <c r="AE58" s="237">
        <f t="shared" si="13"/>
        <v>0.37764667999999996</v>
      </c>
      <c r="AF58" s="237">
        <f t="shared" si="14"/>
        <v>0</v>
      </c>
      <c r="AG58" s="237">
        <f t="shared" si="15"/>
        <v>3.419668E-2</v>
      </c>
      <c r="AH58" s="237">
        <f t="shared" si="16"/>
        <v>0.34344999999999998</v>
      </c>
      <c r="AI58" s="237">
        <f t="shared" si="17"/>
        <v>0</v>
      </c>
      <c r="AJ58" s="303">
        <f t="shared" si="47"/>
        <v>0</v>
      </c>
      <c r="AK58" s="303">
        <v>0</v>
      </c>
      <c r="AL58" s="303">
        <v>0</v>
      </c>
      <c r="AM58" s="303">
        <v>0</v>
      </c>
      <c r="AN58" s="303">
        <v>0</v>
      </c>
      <c r="AO58" s="274">
        <f t="shared" si="48"/>
        <v>0.37764667999999996</v>
      </c>
      <c r="AP58" s="271">
        <v>0</v>
      </c>
      <c r="AQ58" s="271">
        <f>(18044.34+16152.34)/1000000</f>
        <v>3.419668E-2</v>
      </c>
      <c r="AR58" s="271">
        <f>0.171725*2</f>
        <v>0.34344999999999998</v>
      </c>
      <c r="AS58" s="271">
        <v>0</v>
      </c>
      <c r="AT58" s="288">
        <f t="shared" si="49"/>
        <v>0</v>
      </c>
      <c r="AU58" s="288">
        <v>0</v>
      </c>
      <c r="AV58" s="288">
        <v>0</v>
      </c>
      <c r="AW58" s="288">
        <v>0</v>
      </c>
      <c r="AX58" s="288">
        <v>0</v>
      </c>
      <c r="AY58" s="271">
        <f t="shared" si="50"/>
        <v>0</v>
      </c>
      <c r="AZ58" s="271">
        <v>0</v>
      </c>
      <c r="BA58" s="271">
        <v>0</v>
      </c>
      <c r="BB58" s="271">
        <v>0</v>
      </c>
      <c r="BC58" s="271">
        <v>0</v>
      </c>
    </row>
    <row r="59" spans="1:55" s="236" customFormat="1" x14ac:dyDescent="0.2">
      <c r="A59" s="245" t="s">
        <v>953</v>
      </c>
      <c r="B59" s="246" t="s">
        <v>990</v>
      </c>
      <c r="C59" s="245" t="s">
        <v>1036</v>
      </c>
      <c r="D59" s="272">
        <v>0.57831600000000005</v>
      </c>
      <c r="E59" s="237">
        <f t="shared" si="7"/>
        <v>0.48189900000000002</v>
      </c>
      <c r="F59" s="237">
        <f t="shared" si="8"/>
        <v>0</v>
      </c>
      <c r="G59" s="237">
        <f t="shared" si="9"/>
        <v>2.87E-2</v>
      </c>
      <c r="H59" s="237">
        <f t="shared" si="10"/>
        <v>0.43401000000000001</v>
      </c>
      <c r="I59" s="237">
        <f t="shared" si="11"/>
        <v>1.9189000000000001E-2</v>
      </c>
      <c r="J59" s="304">
        <f t="shared" si="45"/>
        <v>0</v>
      </c>
      <c r="K59" s="304">
        <v>0</v>
      </c>
      <c r="L59" s="304">
        <v>0</v>
      </c>
      <c r="M59" s="304">
        <v>0</v>
      </c>
      <c r="N59" s="304">
        <v>0</v>
      </c>
      <c r="O59" s="289">
        <f t="shared" si="46"/>
        <v>0.48189900000000002</v>
      </c>
      <c r="P59" s="289">
        <v>0</v>
      </c>
      <c r="Q59" s="289">
        <v>2.87E-2</v>
      </c>
      <c r="R59" s="289">
        <v>0.43401000000000001</v>
      </c>
      <c r="S59" s="289">
        <v>1.9189000000000001E-2</v>
      </c>
      <c r="T59" s="272">
        <v>0</v>
      </c>
      <c r="U59" s="272">
        <v>0</v>
      </c>
      <c r="V59" s="272">
        <v>0</v>
      </c>
      <c r="W59" s="272">
        <v>0</v>
      </c>
      <c r="X59" s="272">
        <v>0</v>
      </c>
      <c r="Y59" s="272">
        <v>0</v>
      </c>
      <c r="Z59" s="272">
        <v>0</v>
      </c>
      <c r="AA59" s="272">
        <v>0</v>
      </c>
      <c r="AB59" s="272">
        <v>0</v>
      </c>
      <c r="AC59" s="272">
        <v>0</v>
      </c>
      <c r="AD59" s="272">
        <f>0.578316/1.2</f>
        <v>0.48193000000000008</v>
      </c>
      <c r="AE59" s="237">
        <f t="shared" si="13"/>
        <v>0.46070972999999998</v>
      </c>
      <c r="AF59" s="237">
        <f t="shared" si="14"/>
        <v>0</v>
      </c>
      <c r="AG59" s="237">
        <f t="shared" si="15"/>
        <v>3.3209729999999993E-2</v>
      </c>
      <c r="AH59" s="237">
        <f t="shared" si="16"/>
        <v>0.42749999999999999</v>
      </c>
      <c r="AI59" s="237">
        <f t="shared" si="17"/>
        <v>0</v>
      </c>
      <c r="AJ59" s="304">
        <f t="shared" si="47"/>
        <v>0</v>
      </c>
      <c r="AK59" s="304">
        <v>0</v>
      </c>
      <c r="AL59" s="304">
        <v>0</v>
      </c>
      <c r="AM59" s="304">
        <v>0</v>
      </c>
      <c r="AN59" s="304">
        <v>0</v>
      </c>
      <c r="AO59" s="274">
        <f t="shared" si="48"/>
        <v>0.46070972999999998</v>
      </c>
      <c r="AP59" s="272">
        <v>0</v>
      </c>
      <c r="AQ59" s="272">
        <f>(19318.07+13891.66)/1000000</f>
        <v>3.3209729999999993E-2</v>
      </c>
      <c r="AR59" s="272">
        <f>0.21375*2</f>
        <v>0.42749999999999999</v>
      </c>
      <c r="AS59" s="272">
        <v>0</v>
      </c>
      <c r="AT59" s="289">
        <f t="shared" si="49"/>
        <v>0</v>
      </c>
      <c r="AU59" s="289">
        <v>0</v>
      </c>
      <c r="AV59" s="289">
        <v>0</v>
      </c>
      <c r="AW59" s="289">
        <v>0</v>
      </c>
      <c r="AX59" s="289">
        <v>0</v>
      </c>
      <c r="AY59" s="272">
        <f t="shared" si="50"/>
        <v>0</v>
      </c>
      <c r="AZ59" s="272">
        <v>0</v>
      </c>
      <c r="BA59" s="272">
        <v>0</v>
      </c>
      <c r="BB59" s="272">
        <v>0</v>
      </c>
      <c r="BC59" s="272">
        <v>0</v>
      </c>
    </row>
    <row r="60" spans="1:55" s="236" customFormat="1" ht="15" customHeight="1" x14ac:dyDescent="0.2">
      <c r="A60" s="245" t="s">
        <v>954</v>
      </c>
      <c r="B60" s="246" t="s">
        <v>991</v>
      </c>
      <c r="C60" s="245" t="s">
        <v>1037</v>
      </c>
      <c r="D60" s="271">
        <v>0.57831600000000005</v>
      </c>
      <c r="E60" s="237">
        <f t="shared" si="7"/>
        <v>0.48189900000000002</v>
      </c>
      <c r="F60" s="237">
        <f t="shared" si="8"/>
        <v>0</v>
      </c>
      <c r="G60" s="237">
        <f t="shared" si="9"/>
        <v>2.87E-2</v>
      </c>
      <c r="H60" s="237">
        <f t="shared" si="10"/>
        <v>0.43401000000000001</v>
      </c>
      <c r="I60" s="237">
        <f t="shared" si="11"/>
        <v>1.9189000000000001E-2</v>
      </c>
      <c r="J60" s="303">
        <f t="shared" si="45"/>
        <v>0</v>
      </c>
      <c r="K60" s="303">
        <v>0</v>
      </c>
      <c r="L60" s="303">
        <v>0</v>
      </c>
      <c r="M60" s="303">
        <v>0</v>
      </c>
      <c r="N60" s="303">
        <v>0</v>
      </c>
      <c r="O60" s="288">
        <f t="shared" si="46"/>
        <v>0.48189900000000002</v>
      </c>
      <c r="P60" s="288">
        <v>0</v>
      </c>
      <c r="Q60" s="288">
        <v>2.87E-2</v>
      </c>
      <c r="R60" s="288">
        <v>0.43401000000000001</v>
      </c>
      <c r="S60" s="288">
        <v>1.9189000000000001E-2</v>
      </c>
      <c r="T60" s="271">
        <v>0</v>
      </c>
      <c r="U60" s="271">
        <v>0</v>
      </c>
      <c r="V60" s="271">
        <v>0</v>
      </c>
      <c r="W60" s="271">
        <v>0</v>
      </c>
      <c r="X60" s="271">
        <v>0</v>
      </c>
      <c r="Y60" s="271">
        <v>0</v>
      </c>
      <c r="Z60" s="271">
        <v>0</v>
      </c>
      <c r="AA60" s="271">
        <v>0</v>
      </c>
      <c r="AB60" s="271">
        <v>0</v>
      </c>
      <c r="AC60" s="271">
        <v>0</v>
      </c>
      <c r="AD60" s="271">
        <f>0.578316/1.2</f>
        <v>0.48193000000000008</v>
      </c>
      <c r="AE60" s="237">
        <f t="shared" si="13"/>
        <v>0.45784910000000001</v>
      </c>
      <c r="AF60" s="237">
        <f t="shared" si="14"/>
        <v>0</v>
      </c>
      <c r="AG60" s="237">
        <f t="shared" si="15"/>
        <v>3.0349100000000004E-2</v>
      </c>
      <c r="AH60" s="237">
        <f t="shared" si="16"/>
        <v>0.42749999999999999</v>
      </c>
      <c r="AI60" s="237">
        <f t="shared" si="17"/>
        <v>0</v>
      </c>
      <c r="AJ60" s="303">
        <f t="shared" si="47"/>
        <v>0</v>
      </c>
      <c r="AK60" s="303">
        <v>0</v>
      </c>
      <c r="AL60" s="303">
        <v>0</v>
      </c>
      <c r="AM60" s="303">
        <v>0</v>
      </c>
      <c r="AN60" s="303">
        <v>0</v>
      </c>
      <c r="AO60" s="274">
        <f t="shared" si="48"/>
        <v>0.23298306999999999</v>
      </c>
      <c r="AP60" s="271">
        <v>0</v>
      </c>
      <c r="AQ60" s="271">
        <f>19233.07/1000000</f>
        <v>1.9233070000000001E-2</v>
      </c>
      <c r="AR60" s="271">
        <v>0.21375</v>
      </c>
      <c r="AS60" s="271">
        <v>0</v>
      </c>
      <c r="AT60" s="288">
        <f t="shared" si="49"/>
        <v>0.22486602999999999</v>
      </c>
      <c r="AU60" s="288">
        <v>0</v>
      </c>
      <c r="AV60" s="288">
        <v>1.1116030000000001E-2</v>
      </c>
      <c r="AW60" s="288">
        <v>0.21375</v>
      </c>
      <c r="AX60" s="288">
        <v>0</v>
      </c>
      <c r="AY60" s="271">
        <f t="shared" si="50"/>
        <v>0</v>
      </c>
      <c r="AZ60" s="271">
        <v>0</v>
      </c>
      <c r="BA60" s="271">
        <v>0</v>
      </c>
      <c r="BB60" s="271">
        <v>0</v>
      </c>
      <c r="BC60" s="271">
        <v>0</v>
      </c>
    </row>
    <row r="61" spans="1:55" s="236" customFormat="1" ht="21" x14ac:dyDescent="0.2">
      <c r="A61" s="240" t="s">
        <v>142</v>
      </c>
      <c r="B61" s="265" t="s">
        <v>912</v>
      </c>
      <c r="C61" s="240" t="s">
        <v>890</v>
      </c>
      <c r="D61" s="273">
        <f>D62+D65+D70</f>
        <v>7.4872910400000006</v>
      </c>
      <c r="E61" s="237">
        <f t="shared" si="7"/>
        <v>2.4458470000000001</v>
      </c>
      <c r="F61" s="237">
        <f t="shared" si="8"/>
        <v>0</v>
      </c>
      <c r="G61" s="237">
        <f t="shared" si="9"/>
        <v>0.61383399999999999</v>
      </c>
      <c r="H61" s="237">
        <f t="shared" si="10"/>
        <v>1.7583800000000001</v>
      </c>
      <c r="I61" s="237">
        <f t="shared" si="11"/>
        <v>7.3633000000000004E-2</v>
      </c>
      <c r="J61" s="305">
        <f>J62+J65+J70</f>
        <v>0</v>
      </c>
      <c r="K61" s="305">
        <f t="shared" ref="K61:AC61" si="51">K62+K65+K70</f>
        <v>0</v>
      </c>
      <c r="L61" s="305">
        <f t="shared" si="51"/>
        <v>0</v>
      </c>
      <c r="M61" s="305">
        <f t="shared" si="51"/>
        <v>0</v>
      </c>
      <c r="N61" s="305">
        <f t="shared" si="51"/>
        <v>0</v>
      </c>
      <c r="O61" s="290">
        <f t="shared" si="51"/>
        <v>2.4458470000000001</v>
      </c>
      <c r="P61" s="290">
        <f t="shared" si="51"/>
        <v>0</v>
      </c>
      <c r="Q61" s="290">
        <f t="shared" si="51"/>
        <v>0.61383399999999999</v>
      </c>
      <c r="R61" s="290">
        <f t="shared" si="51"/>
        <v>1.7583800000000001</v>
      </c>
      <c r="S61" s="290">
        <f t="shared" si="51"/>
        <v>7.3633000000000004E-2</v>
      </c>
      <c r="T61" s="273">
        <f t="shared" si="51"/>
        <v>0</v>
      </c>
      <c r="U61" s="273">
        <f t="shared" si="51"/>
        <v>0</v>
      </c>
      <c r="V61" s="273">
        <f t="shared" si="51"/>
        <v>0</v>
      </c>
      <c r="W61" s="273">
        <f t="shared" si="51"/>
        <v>0</v>
      </c>
      <c r="X61" s="273">
        <f t="shared" si="51"/>
        <v>0</v>
      </c>
      <c r="Y61" s="273">
        <f t="shared" si="51"/>
        <v>0</v>
      </c>
      <c r="Z61" s="273">
        <f t="shared" si="51"/>
        <v>0</v>
      </c>
      <c r="AA61" s="273">
        <f t="shared" si="51"/>
        <v>0</v>
      </c>
      <c r="AB61" s="273">
        <f t="shared" si="51"/>
        <v>0</v>
      </c>
      <c r="AC61" s="273">
        <f t="shared" si="51"/>
        <v>0</v>
      </c>
      <c r="AD61" s="273">
        <f>AD62+AD65+AD70</f>
        <v>6.2394092000000008</v>
      </c>
      <c r="AE61" s="237">
        <f t="shared" si="13"/>
        <v>6.1854630999999998</v>
      </c>
      <c r="AF61" s="237">
        <f t="shared" si="14"/>
        <v>0</v>
      </c>
      <c r="AG61" s="237">
        <f t="shared" si="15"/>
        <v>2.4896214099999998</v>
      </c>
      <c r="AH61" s="237">
        <f t="shared" si="16"/>
        <v>3.65084169</v>
      </c>
      <c r="AI61" s="237">
        <f t="shared" si="17"/>
        <v>0</v>
      </c>
      <c r="AJ61" s="305">
        <f t="shared" ref="AJ61:BC61" si="52">AJ62+AJ65+AJ70</f>
        <v>0</v>
      </c>
      <c r="AK61" s="305">
        <f t="shared" si="52"/>
        <v>0</v>
      </c>
      <c r="AL61" s="305">
        <f t="shared" si="52"/>
        <v>0</v>
      </c>
      <c r="AM61" s="305">
        <f t="shared" si="52"/>
        <v>0</v>
      </c>
      <c r="AN61" s="305">
        <f t="shared" si="52"/>
        <v>0</v>
      </c>
      <c r="AO61" s="273">
        <f t="shared" si="52"/>
        <v>1.46708203</v>
      </c>
      <c r="AP61" s="273">
        <f t="shared" si="52"/>
        <v>0</v>
      </c>
      <c r="AQ61" s="273">
        <f t="shared" si="52"/>
        <v>0.28041535000000001</v>
      </c>
      <c r="AR61" s="273">
        <f t="shared" si="52"/>
        <v>1.1416666799999999</v>
      </c>
      <c r="AS61" s="273">
        <f t="shared" si="52"/>
        <v>0</v>
      </c>
      <c r="AT61" s="290">
        <f t="shared" si="52"/>
        <v>3.48378801</v>
      </c>
      <c r="AU61" s="290">
        <f t="shared" si="52"/>
        <v>0</v>
      </c>
      <c r="AV61" s="290">
        <f t="shared" si="52"/>
        <v>1.26002967</v>
      </c>
      <c r="AW61" s="290">
        <f t="shared" si="52"/>
        <v>2.2237583399999998</v>
      </c>
      <c r="AX61" s="290">
        <f t="shared" si="52"/>
        <v>0</v>
      </c>
      <c r="AY61" s="273">
        <f t="shared" si="52"/>
        <v>1.2345930599999999</v>
      </c>
      <c r="AZ61" s="273">
        <f t="shared" si="52"/>
        <v>0</v>
      </c>
      <c r="BA61" s="273">
        <f t="shared" si="52"/>
        <v>0.94917638999999998</v>
      </c>
      <c r="BB61" s="273">
        <f t="shared" si="52"/>
        <v>0.28541666999999998</v>
      </c>
      <c r="BC61" s="273">
        <f t="shared" si="52"/>
        <v>0</v>
      </c>
    </row>
    <row r="62" spans="1:55" s="236" customFormat="1" x14ac:dyDescent="0.2">
      <c r="A62" s="261" t="s">
        <v>955</v>
      </c>
      <c r="B62" s="266" t="s">
        <v>992</v>
      </c>
      <c r="C62" s="261" t="s">
        <v>1038</v>
      </c>
      <c r="D62" s="270">
        <f>D63+D64</f>
        <v>1.0199484000000001</v>
      </c>
      <c r="E62" s="237">
        <f t="shared" si="7"/>
        <v>0.84995699999999996</v>
      </c>
      <c r="F62" s="237">
        <f t="shared" si="8"/>
        <v>0</v>
      </c>
      <c r="G62" s="237">
        <f t="shared" si="9"/>
        <v>0.19970599999999999</v>
      </c>
      <c r="H62" s="237">
        <f t="shared" si="10"/>
        <v>0.62962999999999991</v>
      </c>
      <c r="I62" s="237">
        <f t="shared" si="11"/>
        <v>2.0621E-2</v>
      </c>
      <c r="J62" s="302">
        <f>J63+J64</f>
        <v>0</v>
      </c>
      <c r="K62" s="302">
        <f t="shared" ref="K62:AC62" si="53">K63+K64</f>
        <v>0</v>
      </c>
      <c r="L62" s="302">
        <f t="shared" si="53"/>
        <v>0</v>
      </c>
      <c r="M62" s="302">
        <f t="shared" si="53"/>
        <v>0</v>
      </c>
      <c r="N62" s="302">
        <f t="shared" si="53"/>
        <v>0</v>
      </c>
      <c r="O62" s="287">
        <f t="shared" si="53"/>
        <v>0.84995699999999996</v>
      </c>
      <c r="P62" s="287">
        <f t="shared" si="53"/>
        <v>0</v>
      </c>
      <c r="Q62" s="287">
        <f t="shared" si="53"/>
        <v>0.19970599999999999</v>
      </c>
      <c r="R62" s="287">
        <f t="shared" si="53"/>
        <v>0.62962999999999991</v>
      </c>
      <c r="S62" s="287">
        <f t="shared" si="53"/>
        <v>2.0621E-2</v>
      </c>
      <c r="T62" s="270">
        <f t="shared" si="53"/>
        <v>0</v>
      </c>
      <c r="U62" s="270">
        <f t="shared" si="53"/>
        <v>0</v>
      </c>
      <c r="V62" s="270">
        <f t="shared" si="53"/>
        <v>0</v>
      </c>
      <c r="W62" s="270">
        <f t="shared" si="53"/>
        <v>0</v>
      </c>
      <c r="X62" s="270">
        <f t="shared" si="53"/>
        <v>0</v>
      </c>
      <c r="Y62" s="270">
        <f t="shared" si="53"/>
        <v>0</v>
      </c>
      <c r="Z62" s="270">
        <f t="shared" si="53"/>
        <v>0</v>
      </c>
      <c r="AA62" s="270">
        <f t="shared" si="53"/>
        <v>0</v>
      </c>
      <c r="AB62" s="270">
        <f t="shared" si="53"/>
        <v>0</v>
      </c>
      <c r="AC62" s="270">
        <f t="shared" si="53"/>
        <v>0</v>
      </c>
      <c r="AD62" s="270">
        <f>AD63+AD64</f>
        <v>0.84995700000000007</v>
      </c>
      <c r="AE62" s="237">
        <f t="shared" si="13"/>
        <v>0.73288370999999997</v>
      </c>
      <c r="AF62" s="237">
        <f t="shared" si="14"/>
        <v>0</v>
      </c>
      <c r="AG62" s="237">
        <f t="shared" si="15"/>
        <v>0.16205037</v>
      </c>
      <c r="AH62" s="237">
        <f t="shared" si="16"/>
        <v>0.57083333999999997</v>
      </c>
      <c r="AI62" s="237">
        <f t="shared" si="17"/>
        <v>0</v>
      </c>
      <c r="AJ62" s="302">
        <f t="shared" ref="AJ62:BC62" si="54">AJ63+AJ64</f>
        <v>0</v>
      </c>
      <c r="AK62" s="302">
        <f t="shared" si="54"/>
        <v>0</v>
      </c>
      <c r="AL62" s="302">
        <f t="shared" si="54"/>
        <v>0</v>
      </c>
      <c r="AM62" s="302">
        <f t="shared" si="54"/>
        <v>0</v>
      </c>
      <c r="AN62" s="302">
        <f t="shared" si="54"/>
        <v>0</v>
      </c>
      <c r="AO62" s="312">
        <f t="shared" si="54"/>
        <v>0.34659233</v>
      </c>
      <c r="AP62" s="312">
        <f t="shared" si="54"/>
        <v>0</v>
      </c>
      <c r="AQ62" s="312">
        <f t="shared" si="54"/>
        <v>6.1175660000000007E-2</v>
      </c>
      <c r="AR62" s="312">
        <f t="shared" si="54"/>
        <v>0.28541666999999998</v>
      </c>
      <c r="AS62" s="312">
        <f t="shared" si="54"/>
        <v>0</v>
      </c>
      <c r="AT62" s="287">
        <f t="shared" si="54"/>
        <v>0.38629137999999996</v>
      </c>
      <c r="AU62" s="287">
        <f t="shared" si="54"/>
        <v>0</v>
      </c>
      <c r="AV62" s="287">
        <f t="shared" si="54"/>
        <v>0.10087471000000001</v>
      </c>
      <c r="AW62" s="287">
        <f t="shared" si="54"/>
        <v>0.28541666999999998</v>
      </c>
      <c r="AX62" s="287">
        <f t="shared" si="54"/>
        <v>0</v>
      </c>
      <c r="AY62" s="270">
        <f t="shared" si="54"/>
        <v>0</v>
      </c>
      <c r="AZ62" s="270">
        <f t="shared" si="54"/>
        <v>0</v>
      </c>
      <c r="BA62" s="270">
        <f t="shared" si="54"/>
        <v>0</v>
      </c>
      <c r="BB62" s="270">
        <f t="shared" si="54"/>
        <v>0</v>
      </c>
      <c r="BC62" s="270">
        <f t="shared" si="54"/>
        <v>0</v>
      </c>
    </row>
    <row r="63" spans="1:55" s="236" customFormat="1" ht="19.5" customHeight="1" x14ac:dyDescent="0.2">
      <c r="A63" s="245" t="s">
        <v>956</v>
      </c>
      <c r="B63" s="246" t="s">
        <v>993</v>
      </c>
      <c r="C63" s="245" t="s">
        <v>1039</v>
      </c>
      <c r="D63" s="271">
        <v>0.55909439999999999</v>
      </c>
      <c r="E63" s="237">
        <f t="shared" si="7"/>
        <v>0.46591199999999999</v>
      </c>
      <c r="F63" s="237">
        <f t="shared" si="8"/>
        <v>0</v>
      </c>
      <c r="G63" s="237">
        <f t="shared" si="9"/>
        <v>0.12715099999999999</v>
      </c>
      <c r="H63" s="237">
        <f t="shared" si="10"/>
        <v>0.32712799999999997</v>
      </c>
      <c r="I63" s="237">
        <f t="shared" si="11"/>
        <v>1.1632999999999999E-2</v>
      </c>
      <c r="J63" s="303">
        <f t="shared" ref="J63:J64" si="55">K63+L63+M63+N63</f>
        <v>0</v>
      </c>
      <c r="K63" s="303">
        <v>0</v>
      </c>
      <c r="L63" s="303">
        <v>0</v>
      </c>
      <c r="M63" s="303">
        <v>0</v>
      </c>
      <c r="N63" s="303">
        <v>0</v>
      </c>
      <c r="O63" s="288">
        <f t="shared" ref="O63:O64" si="56">P63+Q63+R63+S63</f>
        <v>0.46591199999999999</v>
      </c>
      <c r="P63" s="288">
        <v>0</v>
      </c>
      <c r="Q63" s="288">
        <v>0.12715099999999999</v>
      </c>
      <c r="R63" s="288">
        <v>0.32712799999999997</v>
      </c>
      <c r="S63" s="288">
        <v>1.1632999999999999E-2</v>
      </c>
      <c r="T63" s="271">
        <v>0</v>
      </c>
      <c r="U63" s="271">
        <v>0</v>
      </c>
      <c r="V63" s="271">
        <v>0</v>
      </c>
      <c r="W63" s="271">
        <v>0</v>
      </c>
      <c r="X63" s="271">
        <v>0</v>
      </c>
      <c r="Y63" s="271">
        <v>0</v>
      </c>
      <c r="Z63" s="271">
        <v>0</v>
      </c>
      <c r="AA63" s="271">
        <v>0</v>
      </c>
      <c r="AB63" s="271">
        <v>0</v>
      </c>
      <c r="AC63" s="271">
        <v>0</v>
      </c>
      <c r="AD63" s="271">
        <f>0.5590944/1.2</f>
        <v>0.46591199999999999</v>
      </c>
      <c r="AE63" s="237">
        <f t="shared" si="13"/>
        <v>0.34659233</v>
      </c>
      <c r="AF63" s="237">
        <f t="shared" si="14"/>
        <v>0</v>
      </c>
      <c r="AG63" s="237">
        <f t="shared" si="15"/>
        <v>6.1175660000000007E-2</v>
      </c>
      <c r="AH63" s="237">
        <f t="shared" si="16"/>
        <v>0.28541666999999998</v>
      </c>
      <c r="AI63" s="237">
        <f t="shared" si="17"/>
        <v>0</v>
      </c>
      <c r="AJ63" s="303">
        <f t="shared" ref="AJ63:AJ64" si="57">AK63+AL63+AM63+AN63</f>
        <v>0</v>
      </c>
      <c r="AK63" s="303">
        <v>0</v>
      </c>
      <c r="AL63" s="303">
        <v>0</v>
      </c>
      <c r="AM63" s="303">
        <v>0</v>
      </c>
      <c r="AN63" s="303">
        <v>0</v>
      </c>
      <c r="AO63" s="274">
        <f t="shared" ref="AO63:AO64" si="58">AP63+AQ63+AR63+AS63</f>
        <v>0.34659233</v>
      </c>
      <c r="AP63" s="271">
        <v>0</v>
      </c>
      <c r="AQ63" s="271">
        <f>61175.66/1000000</f>
        <v>6.1175660000000007E-2</v>
      </c>
      <c r="AR63" s="271">
        <f>285416.67/1000000</f>
        <v>0.28541666999999998</v>
      </c>
      <c r="AS63" s="271">
        <v>0</v>
      </c>
      <c r="AT63" s="288">
        <f t="shared" ref="AT63:AT64" si="59">AU63+AV63+AW63+AX63</f>
        <v>0</v>
      </c>
      <c r="AU63" s="288">
        <v>0</v>
      </c>
      <c r="AV63" s="288">
        <v>0</v>
      </c>
      <c r="AW63" s="288">
        <v>0</v>
      </c>
      <c r="AX63" s="288">
        <v>0</v>
      </c>
      <c r="AY63" s="271">
        <f t="shared" ref="AY63:AY64" si="60">AZ63+BA63+BB63+BC63</f>
        <v>0</v>
      </c>
      <c r="AZ63" s="271">
        <v>0</v>
      </c>
      <c r="BA63" s="271">
        <v>0</v>
      </c>
      <c r="BB63" s="271">
        <v>0</v>
      </c>
      <c r="BC63" s="271">
        <v>0</v>
      </c>
    </row>
    <row r="64" spans="1:55" s="236" customFormat="1" ht="17.25" customHeight="1" x14ac:dyDescent="0.2">
      <c r="A64" s="245" t="s">
        <v>957</v>
      </c>
      <c r="B64" s="246" t="s">
        <v>994</v>
      </c>
      <c r="C64" s="245" t="s">
        <v>1040</v>
      </c>
      <c r="D64" s="271">
        <v>0.46085399999999999</v>
      </c>
      <c r="E64" s="237">
        <f t="shared" si="7"/>
        <v>0.38404499999999997</v>
      </c>
      <c r="F64" s="237">
        <f t="shared" si="8"/>
        <v>0</v>
      </c>
      <c r="G64" s="237">
        <f t="shared" si="9"/>
        <v>7.2554999999999994E-2</v>
      </c>
      <c r="H64" s="237">
        <f t="shared" si="10"/>
        <v>0.30250199999999999</v>
      </c>
      <c r="I64" s="237">
        <f t="shared" si="11"/>
        <v>8.9879999999999995E-3</v>
      </c>
      <c r="J64" s="303">
        <f t="shared" si="55"/>
        <v>0</v>
      </c>
      <c r="K64" s="303">
        <v>0</v>
      </c>
      <c r="L64" s="303">
        <v>0</v>
      </c>
      <c r="M64" s="303">
        <v>0</v>
      </c>
      <c r="N64" s="303">
        <v>0</v>
      </c>
      <c r="O64" s="288">
        <f t="shared" si="56"/>
        <v>0.38404499999999997</v>
      </c>
      <c r="P64" s="288">
        <v>0</v>
      </c>
      <c r="Q64" s="288">
        <v>7.2554999999999994E-2</v>
      </c>
      <c r="R64" s="288">
        <v>0.30250199999999999</v>
      </c>
      <c r="S64" s="288">
        <v>8.9879999999999995E-3</v>
      </c>
      <c r="T64" s="271">
        <v>0</v>
      </c>
      <c r="U64" s="271">
        <v>0</v>
      </c>
      <c r="V64" s="271">
        <v>0</v>
      </c>
      <c r="W64" s="271">
        <v>0</v>
      </c>
      <c r="X64" s="271">
        <v>0</v>
      </c>
      <c r="Y64" s="271">
        <v>0</v>
      </c>
      <c r="Z64" s="271">
        <v>0</v>
      </c>
      <c r="AA64" s="271">
        <v>0</v>
      </c>
      <c r="AB64" s="271">
        <v>0</v>
      </c>
      <c r="AC64" s="271">
        <v>0</v>
      </c>
      <c r="AD64" s="271">
        <f>0.460854/1.2</f>
        <v>0.38404500000000003</v>
      </c>
      <c r="AE64" s="237">
        <f t="shared" si="13"/>
        <v>0.38629137999999996</v>
      </c>
      <c r="AF64" s="237">
        <f t="shared" si="14"/>
        <v>0</v>
      </c>
      <c r="AG64" s="237">
        <f t="shared" si="15"/>
        <v>0.10087471000000001</v>
      </c>
      <c r="AH64" s="237">
        <f t="shared" si="16"/>
        <v>0.28541666999999998</v>
      </c>
      <c r="AI64" s="237">
        <f t="shared" si="17"/>
        <v>0</v>
      </c>
      <c r="AJ64" s="303">
        <f t="shared" si="57"/>
        <v>0</v>
      </c>
      <c r="AK64" s="303">
        <v>0</v>
      </c>
      <c r="AL64" s="303">
        <v>0</v>
      </c>
      <c r="AM64" s="303">
        <v>0</v>
      </c>
      <c r="AN64" s="303">
        <v>0</v>
      </c>
      <c r="AO64" s="274">
        <f t="shared" si="58"/>
        <v>0</v>
      </c>
      <c r="AP64" s="271">
        <v>0</v>
      </c>
      <c r="AQ64" s="271">
        <v>0</v>
      </c>
      <c r="AR64" s="271">
        <v>0</v>
      </c>
      <c r="AS64" s="271">
        <v>0</v>
      </c>
      <c r="AT64" s="288">
        <f t="shared" si="59"/>
        <v>0.38629137999999996</v>
      </c>
      <c r="AU64" s="288">
        <v>0</v>
      </c>
      <c r="AV64" s="288">
        <v>0.10087471000000001</v>
      </c>
      <c r="AW64" s="288">
        <v>0.28541666999999998</v>
      </c>
      <c r="AX64" s="288">
        <v>0</v>
      </c>
      <c r="AY64" s="271">
        <f t="shared" si="60"/>
        <v>0</v>
      </c>
      <c r="AZ64" s="271">
        <v>0</v>
      </c>
      <c r="BA64" s="271">
        <v>0</v>
      </c>
      <c r="BB64" s="271">
        <v>0</v>
      </c>
      <c r="BC64" s="271">
        <v>0</v>
      </c>
    </row>
    <row r="65" spans="1:55" s="236" customFormat="1" ht="20.25" customHeight="1" x14ac:dyDescent="0.2">
      <c r="A65" s="261" t="s">
        <v>913</v>
      </c>
      <c r="B65" s="264" t="s">
        <v>995</v>
      </c>
      <c r="C65" s="261" t="s">
        <v>1041</v>
      </c>
      <c r="D65" s="270">
        <f>D66+D67+D68+D69</f>
        <v>1.9150679999999998</v>
      </c>
      <c r="E65" s="237">
        <f t="shared" si="7"/>
        <v>1.59589</v>
      </c>
      <c r="F65" s="237">
        <f t="shared" si="8"/>
        <v>0</v>
      </c>
      <c r="G65" s="237">
        <f t="shared" si="9"/>
        <v>0.414128</v>
      </c>
      <c r="H65" s="237">
        <f t="shared" si="10"/>
        <v>1.1287500000000001</v>
      </c>
      <c r="I65" s="237">
        <f t="shared" si="11"/>
        <v>5.3011999999999997E-2</v>
      </c>
      <c r="J65" s="302">
        <f>J66+J67+J68+J69</f>
        <v>0</v>
      </c>
      <c r="K65" s="302">
        <f t="shared" ref="K65:AC65" si="61">K66+K67+K68+K69</f>
        <v>0</v>
      </c>
      <c r="L65" s="302">
        <f t="shared" si="61"/>
        <v>0</v>
      </c>
      <c r="M65" s="302">
        <f t="shared" si="61"/>
        <v>0</v>
      </c>
      <c r="N65" s="302">
        <f t="shared" si="61"/>
        <v>0</v>
      </c>
      <c r="O65" s="287">
        <f t="shared" si="61"/>
        <v>1.59589</v>
      </c>
      <c r="P65" s="287">
        <f t="shared" si="61"/>
        <v>0</v>
      </c>
      <c r="Q65" s="287">
        <f t="shared" si="61"/>
        <v>0.414128</v>
      </c>
      <c r="R65" s="287">
        <f t="shared" si="61"/>
        <v>1.1287500000000001</v>
      </c>
      <c r="S65" s="287">
        <f t="shared" si="61"/>
        <v>5.3011999999999997E-2</v>
      </c>
      <c r="T65" s="270">
        <f t="shared" si="61"/>
        <v>0</v>
      </c>
      <c r="U65" s="270">
        <f t="shared" si="61"/>
        <v>0</v>
      </c>
      <c r="V65" s="270">
        <f t="shared" si="61"/>
        <v>0</v>
      </c>
      <c r="W65" s="270">
        <f t="shared" si="61"/>
        <v>0</v>
      </c>
      <c r="X65" s="270">
        <f t="shared" si="61"/>
        <v>0</v>
      </c>
      <c r="Y65" s="270">
        <f t="shared" si="61"/>
        <v>0</v>
      </c>
      <c r="Z65" s="270">
        <f t="shared" si="61"/>
        <v>0</v>
      </c>
      <c r="AA65" s="270">
        <f t="shared" si="61"/>
        <v>0</v>
      </c>
      <c r="AB65" s="270">
        <f t="shared" si="61"/>
        <v>0</v>
      </c>
      <c r="AC65" s="270">
        <f t="shared" si="61"/>
        <v>0</v>
      </c>
      <c r="AD65" s="270">
        <f>AD66+AD67+AD68+AD69</f>
        <v>1.59589</v>
      </c>
      <c r="AE65" s="237">
        <f t="shared" si="13"/>
        <v>1.79304321</v>
      </c>
      <c r="AF65" s="237">
        <f t="shared" si="14"/>
        <v>0</v>
      </c>
      <c r="AG65" s="237">
        <f t="shared" si="15"/>
        <v>0.42220985999999994</v>
      </c>
      <c r="AH65" s="237">
        <f t="shared" si="16"/>
        <v>1.3708333499999998</v>
      </c>
      <c r="AI65" s="237">
        <f t="shared" si="17"/>
        <v>0</v>
      </c>
      <c r="AJ65" s="302">
        <f t="shared" ref="AJ65:BC65" si="62">AJ66+AJ67+AJ68+AJ69</f>
        <v>0</v>
      </c>
      <c r="AK65" s="302">
        <f t="shared" si="62"/>
        <v>0</v>
      </c>
      <c r="AL65" s="302">
        <f t="shared" si="62"/>
        <v>0</v>
      </c>
      <c r="AM65" s="302">
        <f t="shared" si="62"/>
        <v>0</v>
      </c>
      <c r="AN65" s="302">
        <f t="shared" si="62"/>
        <v>0</v>
      </c>
      <c r="AO65" s="312">
        <f t="shared" si="62"/>
        <v>1.0754897000000001</v>
      </c>
      <c r="AP65" s="312">
        <f t="shared" si="62"/>
        <v>0</v>
      </c>
      <c r="AQ65" s="312">
        <f t="shared" si="62"/>
        <v>0.21923968999999999</v>
      </c>
      <c r="AR65" s="312">
        <f t="shared" si="62"/>
        <v>0.85625000999999989</v>
      </c>
      <c r="AS65" s="312">
        <f t="shared" si="62"/>
        <v>0</v>
      </c>
      <c r="AT65" s="287">
        <f t="shared" si="62"/>
        <v>0.39376918999999999</v>
      </c>
      <c r="AU65" s="287">
        <f t="shared" si="62"/>
        <v>0</v>
      </c>
      <c r="AV65" s="287">
        <f t="shared" si="62"/>
        <v>0.16460252</v>
      </c>
      <c r="AW65" s="287">
        <f t="shared" si="62"/>
        <v>0.22916666999999999</v>
      </c>
      <c r="AX65" s="287">
        <f t="shared" si="62"/>
        <v>0</v>
      </c>
      <c r="AY65" s="270">
        <f>AY66+AY67+AY68+AY69</f>
        <v>0.32378432000000001</v>
      </c>
      <c r="AZ65" s="270">
        <f t="shared" si="62"/>
        <v>0</v>
      </c>
      <c r="BA65" s="270">
        <f t="shared" si="62"/>
        <v>3.8367650000000003E-2</v>
      </c>
      <c r="BB65" s="270">
        <f t="shared" si="62"/>
        <v>0.28541666999999998</v>
      </c>
      <c r="BC65" s="270">
        <f t="shared" si="62"/>
        <v>0</v>
      </c>
    </row>
    <row r="66" spans="1:55" s="236" customFormat="1" ht="21" customHeight="1" x14ac:dyDescent="0.2">
      <c r="A66" s="245" t="s">
        <v>914</v>
      </c>
      <c r="B66" s="246" t="s">
        <v>996</v>
      </c>
      <c r="C66" s="245" t="s">
        <v>1042</v>
      </c>
      <c r="D66" s="274">
        <v>0.47749199999999997</v>
      </c>
      <c r="E66" s="237">
        <f t="shared" si="7"/>
        <v>0.39790999999999999</v>
      </c>
      <c r="F66" s="237">
        <f t="shared" si="8"/>
        <v>0</v>
      </c>
      <c r="G66" s="237">
        <f t="shared" si="9"/>
        <v>0.108581</v>
      </c>
      <c r="H66" s="237">
        <f t="shared" si="10"/>
        <v>0.27541700000000002</v>
      </c>
      <c r="I66" s="237">
        <f t="shared" si="11"/>
        <v>1.3912000000000001E-2</v>
      </c>
      <c r="J66" s="306">
        <f t="shared" ref="J66:J69" si="63">K66+L66+M66+N66</f>
        <v>0</v>
      </c>
      <c r="K66" s="306">
        <v>0</v>
      </c>
      <c r="L66" s="306">
        <v>0</v>
      </c>
      <c r="M66" s="306">
        <v>0</v>
      </c>
      <c r="N66" s="306">
        <v>0</v>
      </c>
      <c r="O66" s="291">
        <f t="shared" ref="O66:O69" si="64">P66+Q66+R66+S66</f>
        <v>0.39790999999999999</v>
      </c>
      <c r="P66" s="291">
        <v>0</v>
      </c>
      <c r="Q66" s="291">
        <v>0.108581</v>
      </c>
      <c r="R66" s="291">
        <v>0.27541700000000002</v>
      </c>
      <c r="S66" s="291">
        <v>1.3912000000000001E-2</v>
      </c>
      <c r="T66" s="274">
        <v>0</v>
      </c>
      <c r="U66" s="274">
        <v>0</v>
      </c>
      <c r="V66" s="274">
        <v>0</v>
      </c>
      <c r="W66" s="274">
        <v>0</v>
      </c>
      <c r="X66" s="274">
        <v>0</v>
      </c>
      <c r="Y66" s="274">
        <v>0</v>
      </c>
      <c r="Z66" s="274">
        <v>0</v>
      </c>
      <c r="AA66" s="274">
        <v>0</v>
      </c>
      <c r="AB66" s="274">
        <v>0</v>
      </c>
      <c r="AC66" s="274">
        <v>0</v>
      </c>
      <c r="AD66" s="274">
        <f>0.477492/1.2</f>
        <v>0.39791000000000004</v>
      </c>
      <c r="AE66" s="237">
        <f t="shared" si="13"/>
        <v>0.66648538000000002</v>
      </c>
      <c r="AF66" s="237">
        <f t="shared" si="14"/>
        <v>0</v>
      </c>
      <c r="AG66" s="237">
        <f t="shared" si="15"/>
        <v>9.5652039999999994E-2</v>
      </c>
      <c r="AH66" s="237">
        <f t="shared" si="16"/>
        <v>0.57083333999999997</v>
      </c>
      <c r="AI66" s="237">
        <f t="shared" si="17"/>
        <v>0</v>
      </c>
      <c r="AJ66" s="306">
        <f t="shared" ref="AJ66:AJ69" si="65">AK66+AL66+AM66+AN66</f>
        <v>0</v>
      </c>
      <c r="AK66" s="306">
        <v>0</v>
      </c>
      <c r="AL66" s="306">
        <v>0</v>
      </c>
      <c r="AM66" s="306">
        <v>0</v>
      </c>
      <c r="AN66" s="306">
        <v>0</v>
      </c>
      <c r="AO66" s="274">
        <f t="shared" ref="AO66:AO69" si="66">AP66+AQ66+AR66+AS66</f>
        <v>0.34270106</v>
      </c>
      <c r="AP66" s="274">
        <v>0</v>
      </c>
      <c r="AQ66" s="274">
        <f>57284.39/1000000</f>
        <v>5.7284389999999998E-2</v>
      </c>
      <c r="AR66" s="274">
        <f>285416.67/1000000</f>
        <v>0.28541666999999998</v>
      </c>
      <c r="AS66" s="274">
        <v>0</v>
      </c>
      <c r="AT66" s="291">
        <f t="shared" ref="AT66:AT73" si="67">AU66+AV66+AW66+AX66</f>
        <v>0</v>
      </c>
      <c r="AU66" s="291">
        <v>0</v>
      </c>
      <c r="AV66" s="291">
        <v>0</v>
      </c>
      <c r="AW66" s="291">
        <v>0</v>
      </c>
      <c r="AX66" s="291">
        <v>0</v>
      </c>
      <c r="AY66" s="274">
        <f t="shared" ref="AY66:AY69" si="68">AZ66+BA66+BB66+BC66</f>
        <v>0.32378432000000001</v>
      </c>
      <c r="AZ66" s="274">
        <v>0</v>
      </c>
      <c r="BA66" s="274">
        <v>3.8367650000000003E-2</v>
      </c>
      <c r="BB66" s="274">
        <v>0.28541666999999998</v>
      </c>
      <c r="BC66" s="274">
        <v>0</v>
      </c>
    </row>
    <row r="67" spans="1:55" s="236" customFormat="1" ht="22.5" customHeight="1" x14ac:dyDescent="0.2">
      <c r="A67" s="245" t="s">
        <v>915</v>
      </c>
      <c r="B67" s="246" t="s">
        <v>997</v>
      </c>
      <c r="C67" s="245" t="s">
        <v>1043</v>
      </c>
      <c r="D67" s="272">
        <v>0.47283960000000003</v>
      </c>
      <c r="E67" s="237">
        <f t="shared" si="7"/>
        <v>0.39403300000000002</v>
      </c>
      <c r="F67" s="237">
        <f t="shared" si="8"/>
        <v>0</v>
      </c>
      <c r="G67" s="237">
        <f t="shared" si="9"/>
        <v>0.10456799999999999</v>
      </c>
      <c r="H67" s="237">
        <f t="shared" si="10"/>
        <v>0.27541700000000002</v>
      </c>
      <c r="I67" s="237">
        <f t="shared" si="11"/>
        <v>1.4048E-2</v>
      </c>
      <c r="J67" s="304">
        <f t="shared" si="63"/>
        <v>0</v>
      </c>
      <c r="K67" s="304">
        <v>0</v>
      </c>
      <c r="L67" s="304">
        <v>0</v>
      </c>
      <c r="M67" s="304">
        <v>0</v>
      </c>
      <c r="N67" s="304">
        <v>0</v>
      </c>
      <c r="O67" s="289">
        <f t="shared" si="64"/>
        <v>0.39403300000000002</v>
      </c>
      <c r="P67" s="289">
        <v>0</v>
      </c>
      <c r="Q67" s="289">
        <v>0.10456799999999999</v>
      </c>
      <c r="R67" s="289">
        <v>0.27541700000000002</v>
      </c>
      <c r="S67" s="289">
        <v>1.4048E-2</v>
      </c>
      <c r="T67" s="272">
        <v>0</v>
      </c>
      <c r="U67" s="272">
        <v>0</v>
      </c>
      <c r="V67" s="272">
        <v>0</v>
      </c>
      <c r="W67" s="272">
        <v>0</v>
      </c>
      <c r="X67" s="272">
        <v>0</v>
      </c>
      <c r="Y67" s="272">
        <v>0</v>
      </c>
      <c r="Z67" s="272">
        <v>0</v>
      </c>
      <c r="AA67" s="272">
        <v>0</v>
      </c>
      <c r="AB67" s="272">
        <v>0</v>
      </c>
      <c r="AC67" s="272">
        <v>0</v>
      </c>
      <c r="AD67" s="272">
        <f>0.4728396/1.2</f>
        <v>0.39403300000000002</v>
      </c>
      <c r="AE67" s="237">
        <f t="shared" si="13"/>
        <v>0.40482952</v>
      </c>
      <c r="AF67" s="237">
        <f t="shared" si="14"/>
        <v>0</v>
      </c>
      <c r="AG67" s="237">
        <f t="shared" si="15"/>
        <v>0.11941285</v>
      </c>
      <c r="AH67" s="237">
        <f t="shared" si="16"/>
        <v>0.28541666999999998</v>
      </c>
      <c r="AI67" s="237">
        <f t="shared" si="17"/>
        <v>0</v>
      </c>
      <c r="AJ67" s="304">
        <f t="shared" si="65"/>
        <v>0</v>
      </c>
      <c r="AK67" s="304">
        <v>0</v>
      </c>
      <c r="AL67" s="304">
        <v>0</v>
      </c>
      <c r="AM67" s="304">
        <v>0</v>
      </c>
      <c r="AN67" s="304">
        <v>0</v>
      </c>
      <c r="AO67" s="272">
        <f t="shared" si="66"/>
        <v>0.40482952</v>
      </c>
      <c r="AP67" s="272">
        <v>0</v>
      </c>
      <c r="AQ67" s="272">
        <f>119412.85/1000000</f>
        <v>0.11941285</v>
      </c>
      <c r="AR67" s="272">
        <f>285416.67/1000000</f>
        <v>0.28541666999999998</v>
      </c>
      <c r="AS67" s="272">
        <v>0</v>
      </c>
      <c r="AT67" s="289">
        <f t="shared" si="67"/>
        <v>0</v>
      </c>
      <c r="AU67" s="289">
        <v>0</v>
      </c>
      <c r="AV67" s="289">
        <v>0</v>
      </c>
      <c r="AW67" s="289">
        <v>0</v>
      </c>
      <c r="AX67" s="289">
        <v>0</v>
      </c>
      <c r="AY67" s="272">
        <f t="shared" si="68"/>
        <v>0</v>
      </c>
      <c r="AZ67" s="272">
        <v>0</v>
      </c>
      <c r="BA67" s="272">
        <v>0</v>
      </c>
      <c r="BB67" s="272">
        <v>0</v>
      </c>
      <c r="BC67" s="272">
        <v>0</v>
      </c>
    </row>
    <row r="68" spans="1:55" s="236" customFormat="1" ht="20.25" customHeight="1" x14ac:dyDescent="0.2">
      <c r="A68" s="245" t="s">
        <v>958</v>
      </c>
      <c r="B68" s="246" t="s">
        <v>998</v>
      </c>
      <c r="C68" s="245" t="s">
        <v>1044</v>
      </c>
      <c r="D68" s="271">
        <v>0.47355720000000001</v>
      </c>
      <c r="E68" s="237">
        <f t="shared" si="7"/>
        <v>0.39463100000000001</v>
      </c>
      <c r="F68" s="237">
        <f t="shared" si="8"/>
        <v>0</v>
      </c>
      <c r="G68" s="237">
        <f t="shared" si="9"/>
        <v>8.0991999999999995E-2</v>
      </c>
      <c r="H68" s="237">
        <f t="shared" si="10"/>
        <v>0.30249900000000002</v>
      </c>
      <c r="I68" s="237">
        <f t="shared" si="11"/>
        <v>1.1140000000000001E-2</v>
      </c>
      <c r="J68" s="303">
        <f t="shared" si="63"/>
        <v>0</v>
      </c>
      <c r="K68" s="303">
        <v>0</v>
      </c>
      <c r="L68" s="303">
        <v>0</v>
      </c>
      <c r="M68" s="303">
        <v>0</v>
      </c>
      <c r="N68" s="303">
        <v>0</v>
      </c>
      <c r="O68" s="288">
        <f t="shared" si="64"/>
        <v>0.39463100000000001</v>
      </c>
      <c r="P68" s="288">
        <v>0</v>
      </c>
      <c r="Q68" s="288">
        <v>8.0991999999999995E-2</v>
      </c>
      <c r="R68" s="288">
        <v>0.30249900000000002</v>
      </c>
      <c r="S68" s="288">
        <v>1.1140000000000001E-2</v>
      </c>
      <c r="T68" s="271">
        <v>0</v>
      </c>
      <c r="U68" s="271">
        <v>0</v>
      </c>
      <c r="V68" s="271">
        <v>0</v>
      </c>
      <c r="W68" s="271">
        <v>0</v>
      </c>
      <c r="X68" s="271">
        <v>0</v>
      </c>
      <c r="Y68" s="271">
        <v>0</v>
      </c>
      <c r="Z68" s="271">
        <v>0</v>
      </c>
      <c r="AA68" s="271">
        <v>0</v>
      </c>
      <c r="AB68" s="271">
        <v>0</v>
      </c>
      <c r="AC68" s="271">
        <v>0</v>
      </c>
      <c r="AD68" s="271">
        <f>0.4735572/1.2</f>
        <v>0.39463100000000001</v>
      </c>
      <c r="AE68" s="237">
        <f t="shared" si="13"/>
        <v>0.32795911999999999</v>
      </c>
      <c r="AF68" s="237">
        <f t="shared" si="14"/>
        <v>0</v>
      </c>
      <c r="AG68" s="237">
        <f t="shared" si="15"/>
        <v>4.2542449999999996E-2</v>
      </c>
      <c r="AH68" s="237">
        <f t="shared" si="16"/>
        <v>0.28541666999999998</v>
      </c>
      <c r="AI68" s="237">
        <f t="shared" si="17"/>
        <v>0</v>
      </c>
      <c r="AJ68" s="303">
        <f t="shared" si="65"/>
        <v>0</v>
      </c>
      <c r="AK68" s="303">
        <v>0</v>
      </c>
      <c r="AL68" s="303">
        <v>0</v>
      </c>
      <c r="AM68" s="303">
        <v>0</v>
      </c>
      <c r="AN68" s="303">
        <v>0</v>
      </c>
      <c r="AO68" s="271">
        <f t="shared" si="66"/>
        <v>0.32795911999999999</v>
      </c>
      <c r="AP68" s="271">
        <v>0</v>
      </c>
      <c r="AQ68" s="271">
        <f>42542.45/1000000</f>
        <v>4.2542449999999996E-2</v>
      </c>
      <c r="AR68" s="271">
        <f>285416.67/1000000</f>
        <v>0.28541666999999998</v>
      </c>
      <c r="AS68" s="271">
        <v>0</v>
      </c>
      <c r="AT68" s="288">
        <f t="shared" si="67"/>
        <v>0</v>
      </c>
      <c r="AU68" s="288">
        <v>0</v>
      </c>
      <c r="AV68" s="288">
        <v>0</v>
      </c>
      <c r="AW68" s="288">
        <v>0</v>
      </c>
      <c r="AX68" s="288">
        <v>0</v>
      </c>
      <c r="AY68" s="271">
        <f t="shared" si="68"/>
        <v>0</v>
      </c>
      <c r="AZ68" s="271">
        <v>0</v>
      </c>
      <c r="BA68" s="271">
        <v>0</v>
      </c>
      <c r="BB68" s="271">
        <v>0</v>
      </c>
      <c r="BC68" s="271">
        <v>0</v>
      </c>
    </row>
    <row r="69" spans="1:55" s="236" customFormat="1" x14ac:dyDescent="0.2">
      <c r="A69" s="245" t="s">
        <v>959</v>
      </c>
      <c r="B69" s="246" t="s">
        <v>999</v>
      </c>
      <c r="C69" s="245" t="s">
        <v>1045</v>
      </c>
      <c r="D69" s="271">
        <v>0.49117919999999998</v>
      </c>
      <c r="E69" s="237">
        <f t="shared" si="7"/>
        <v>0.40931600000000001</v>
      </c>
      <c r="F69" s="237">
        <f t="shared" si="8"/>
        <v>0</v>
      </c>
      <c r="G69" s="237">
        <f t="shared" si="9"/>
        <v>0.119987</v>
      </c>
      <c r="H69" s="237">
        <f t="shared" si="10"/>
        <v>0.27541700000000002</v>
      </c>
      <c r="I69" s="237">
        <f t="shared" si="11"/>
        <v>1.3912000000000001E-2</v>
      </c>
      <c r="J69" s="303">
        <f t="shared" si="63"/>
        <v>0</v>
      </c>
      <c r="K69" s="303">
        <v>0</v>
      </c>
      <c r="L69" s="303">
        <v>0</v>
      </c>
      <c r="M69" s="303">
        <v>0</v>
      </c>
      <c r="N69" s="303">
        <v>0</v>
      </c>
      <c r="O69" s="288">
        <f t="shared" si="64"/>
        <v>0.40931600000000001</v>
      </c>
      <c r="P69" s="288">
        <v>0</v>
      </c>
      <c r="Q69" s="288">
        <v>0.119987</v>
      </c>
      <c r="R69" s="288">
        <v>0.27541700000000002</v>
      </c>
      <c r="S69" s="288">
        <v>1.3912000000000001E-2</v>
      </c>
      <c r="T69" s="271">
        <v>0</v>
      </c>
      <c r="U69" s="271">
        <v>0</v>
      </c>
      <c r="V69" s="271">
        <v>0</v>
      </c>
      <c r="W69" s="271">
        <v>0</v>
      </c>
      <c r="X69" s="271">
        <v>0</v>
      </c>
      <c r="Y69" s="271">
        <v>0</v>
      </c>
      <c r="Z69" s="271">
        <v>0</v>
      </c>
      <c r="AA69" s="271">
        <v>0</v>
      </c>
      <c r="AB69" s="271">
        <v>0</v>
      </c>
      <c r="AC69" s="271">
        <v>0</v>
      </c>
      <c r="AD69" s="271">
        <f>0.4911792/1.2</f>
        <v>0.40931600000000001</v>
      </c>
      <c r="AE69" s="237">
        <f t="shared" si="13"/>
        <v>0.39376918999999999</v>
      </c>
      <c r="AF69" s="237">
        <f t="shared" si="14"/>
        <v>0</v>
      </c>
      <c r="AG69" s="237">
        <f t="shared" si="15"/>
        <v>0.16460252</v>
      </c>
      <c r="AH69" s="237">
        <f t="shared" si="16"/>
        <v>0.22916666999999999</v>
      </c>
      <c r="AI69" s="237">
        <f t="shared" si="17"/>
        <v>0</v>
      </c>
      <c r="AJ69" s="303">
        <f t="shared" si="65"/>
        <v>0</v>
      </c>
      <c r="AK69" s="303">
        <v>0</v>
      </c>
      <c r="AL69" s="303">
        <v>0</v>
      </c>
      <c r="AM69" s="303">
        <v>0</v>
      </c>
      <c r="AN69" s="303">
        <v>0</v>
      </c>
      <c r="AO69" s="271">
        <f t="shared" si="66"/>
        <v>0</v>
      </c>
      <c r="AP69" s="271">
        <v>0</v>
      </c>
      <c r="AQ69" s="271">
        <v>0</v>
      </c>
      <c r="AR69" s="271">
        <v>0</v>
      </c>
      <c r="AS69" s="271">
        <v>0</v>
      </c>
      <c r="AT69" s="288">
        <f t="shared" si="67"/>
        <v>0.39376918999999999</v>
      </c>
      <c r="AU69" s="288">
        <v>0</v>
      </c>
      <c r="AV69" s="288">
        <v>0.16460252</v>
      </c>
      <c r="AW69" s="288">
        <v>0.22916666999999999</v>
      </c>
      <c r="AX69" s="288">
        <v>0</v>
      </c>
      <c r="AY69" s="271">
        <f t="shared" si="68"/>
        <v>0</v>
      </c>
      <c r="AZ69" s="271">
        <v>0</v>
      </c>
      <c r="BA69" s="271">
        <v>0</v>
      </c>
      <c r="BB69" s="271">
        <v>0</v>
      </c>
      <c r="BC69" s="271">
        <v>0</v>
      </c>
    </row>
    <row r="70" spans="1:55" s="236" customFormat="1" x14ac:dyDescent="0.2">
      <c r="A70" s="261" t="s">
        <v>916</v>
      </c>
      <c r="B70" s="264" t="s">
        <v>1000</v>
      </c>
      <c r="C70" s="261" t="s">
        <v>1046</v>
      </c>
      <c r="D70" s="270">
        <f>D71+D72+D73</f>
        <v>4.5522746400000003</v>
      </c>
      <c r="E70" s="237">
        <f t="shared" si="7"/>
        <v>0</v>
      </c>
      <c r="F70" s="237">
        <f t="shared" si="8"/>
        <v>0</v>
      </c>
      <c r="G70" s="237">
        <f t="shared" si="9"/>
        <v>0</v>
      </c>
      <c r="H70" s="237">
        <f t="shared" si="10"/>
        <v>0</v>
      </c>
      <c r="I70" s="237">
        <f t="shared" si="11"/>
        <v>0</v>
      </c>
      <c r="J70" s="302">
        <f>J71+J72+J73</f>
        <v>0</v>
      </c>
      <c r="K70" s="302">
        <f t="shared" ref="K70:AC70" si="69">K71+K72+K73</f>
        <v>0</v>
      </c>
      <c r="L70" s="302">
        <f t="shared" si="69"/>
        <v>0</v>
      </c>
      <c r="M70" s="302">
        <f t="shared" si="69"/>
        <v>0</v>
      </c>
      <c r="N70" s="302">
        <f t="shared" si="69"/>
        <v>0</v>
      </c>
      <c r="O70" s="287">
        <f t="shared" si="69"/>
        <v>0</v>
      </c>
      <c r="P70" s="287">
        <f t="shared" si="69"/>
        <v>0</v>
      </c>
      <c r="Q70" s="287">
        <f t="shared" si="69"/>
        <v>0</v>
      </c>
      <c r="R70" s="287">
        <f t="shared" si="69"/>
        <v>0</v>
      </c>
      <c r="S70" s="287">
        <f t="shared" si="69"/>
        <v>0</v>
      </c>
      <c r="T70" s="270">
        <f t="shared" si="69"/>
        <v>0</v>
      </c>
      <c r="U70" s="270">
        <f t="shared" si="69"/>
        <v>0</v>
      </c>
      <c r="V70" s="270">
        <f t="shared" si="69"/>
        <v>0</v>
      </c>
      <c r="W70" s="270">
        <f t="shared" si="69"/>
        <v>0</v>
      </c>
      <c r="X70" s="270">
        <f t="shared" si="69"/>
        <v>0</v>
      </c>
      <c r="Y70" s="270">
        <f t="shared" si="69"/>
        <v>0</v>
      </c>
      <c r="Z70" s="270">
        <f t="shared" si="69"/>
        <v>0</v>
      </c>
      <c r="AA70" s="270">
        <f t="shared" si="69"/>
        <v>0</v>
      </c>
      <c r="AB70" s="270">
        <f t="shared" si="69"/>
        <v>0</v>
      </c>
      <c r="AC70" s="270">
        <f t="shared" si="69"/>
        <v>0</v>
      </c>
      <c r="AD70" s="270">
        <f>AD71+AD72+AD73</f>
        <v>3.7935622000000002</v>
      </c>
      <c r="AE70" s="237">
        <f t="shared" si="13"/>
        <v>3.6595361799999999</v>
      </c>
      <c r="AF70" s="237">
        <f t="shared" si="14"/>
        <v>0</v>
      </c>
      <c r="AG70" s="237">
        <f t="shared" si="15"/>
        <v>1.9053611799999999</v>
      </c>
      <c r="AH70" s="237">
        <f t="shared" si="16"/>
        <v>1.7091750000000001</v>
      </c>
      <c r="AI70" s="237">
        <f t="shared" si="17"/>
        <v>0</v>
      </c>
      <c r="AJ70" s="302">
        <f t="shared" ref="AJ70:BC70" si="70">AJ71+AJ72+AJ73</f>
        <v>0</v>
      </c>
      <c r="AK70" s="302">
        <f t="shared" si="70"/>
        <v>0</v>
      </c>
      <c r="AL70" s="302">
        <f t="shared" si="70"/>
        <v>0</v>
      </c>
      <c r="AM70" s="302">
        <f t="shared" si="70"/>
        <v>0</v>
      </c>
      <c r="AN70" s="302">
        <f t="shared" si="70"/>
        <v>0</v>
      </c>
      <c r="AO70" s="312">
        <f>AO71+AO72+AO73</f>
        <v>4.4999999999999998E-2</v>
      </c>
      <c r="AP70" s="312">
        <f t="shared" si="70"/>
        <v>0</v>
      </c>
      <c r="AQ70" s="312">
        <f t="shared" si="70"/>
        <v>0</v>
      </c>
      <c r="AR70" s="312">
        <f t="shared" si="70"/>
        <v>0</v>
      </c>
      <c r="AS70" s="312">
        <v>0</v>
      </c>
      <c r="AT70" s="287">
        <f>AT71+AT72+AT73</f>
        <v>2.7037274400000002</v>
      </c>
      <c r="AU70" s="287">
        <f t="shared" si="70"/>
        <v>0</v>
      </c>
      <c r="AV70" s="287">
        <f t="shared" si="70"/>
        <v>0.99455243999999998</v>
      </c>
      <c r="AW70" s="287">
        <f t="shared" si="70"/>
        <v>1.7091750000000001</v>
      </c>
      <c r="AX70" s="287">
        <f t="shared" si="70"/>
        <v>0</v>
      </c>
      <c r="AY70" s="270">
        <f t="shared" si="70"/>
        <v>0.91080874000000001</v>
      </c>
      <c r="AZ70" s="270">
        <f t="shared" si="70"/>
        <v>0</v>
      </c>
      <c r="BA70" s="270">
        <f t="shared" si="70"/>
        <v>0.91080874000000001</v>
      </c>
      <c r="BB70" s="270">
        <f t="shared" si="70"/>
        <v>0</v>
      </c>
      <c r="BC70" s="270">
        <f t="shared" si="70"/>
        <v>0</v>
      </c>
    </row>
    <row r="71" spans="1:55" s="236" customFormat="1" ht="28.5" customHeight="1" x14ac:dyDescent="0.2">
      <c r="A71" s="245" t="s">
        <v>917</v>
      </c>
      <c r="B71" s="246" t="s">
        <v>1062</v>
      </c>
      <c r="C71" s="245" t="s">
        <v>1047</v>
      </c>
      <c r="D71" s="272">
        <v>2.91990324</v>
      </c>
      <c r="E71" s="237">
        <f t="shared" si="7"/>
        <v>0</v>
      </c>
      <c r="F71" s="237">
        <f t="shared" si="8"/>
        <v>0</v>
      </c>
      <c r="G71" s="237">
        <f t="shared" si="9"/>
        <v>0</v>
      </c>
      <c r="H71" s="237">
        <f t="shared" si="10"/>
        <v>0</v>
      </c>
      <c r="I71" s="237">
        <f t="shared" si="11"/>
        <v>0</v>
      </c>
      <c r="J71" s="304">
        <f t="shared" ref="J71:J73" si="71">K71+L71+M71+N71</f>
        <v>0</v>
      </c>
      <c r="K71" s="304">
        <v>0</v>
      </c>
      <c r="L71" s="304">
        <v>0</v>
      </c>
      <c r="M71" s="304">
        <v>0</v>
      </c>
      <c r="N71" s="304">
        <v>0</v>
      </c>
      <c r="O71" s="289">
        <f t="shared" ref="O71:O73" si="72">P71+Q71+R71+S71</f>
        <v>0</v>
      </c>
      <c r="P71" s="289">
        <v>0</v>
      </c>
      <c r="Q71" s="289">
        <v>0</v>
      </c>
      <c r="R71" s="289">
        <v>0</v>
      </c>
      <c r="S71" s="289">
        <v>0</v>
      </c>
      <c r="T71" s="272">
        <v>0</v>
      </c>
      <c r="U71" s="272">
        <v>0</v>
      </c>
      <c r="V71" s="272">
        <v>0</v>
      </c>
      <c r="W71" s="272">
        <v>0</v>
      </c>
      <c r="X71" s="272">
        <v>0</v>
      </c>
      <c r="Y71" s="272">
        <v>0</v>
      </c>
      <c r="Z71" s="272">
        <v>0</v>
      </c>
      <c r="AA71" s="272">
        <v>0</v>
      </c>
      <c r="AB71" s="272">
        <v>0</v>
      </c>
      <c r="AC71" s="272">
        <v>0</v>
      </c>
      <c r="AD71" s="272">
        <f>2.91990324/1.2</f>
        <v>2.4332527000000002</v>
      </c>
      <c r="AE71" s="237">
        <f t="shared" si="13"/>
        <v>1.84021152</v>
      </c>
      <c r="AF71" s="237">
        <f t="shared" si="14"/>
        <v>0</v>
      </c>
      <c r="AG71" s="237">
        <f t="shared" si="15"/>
        <v>1.0003198499999999</v>
      </c>
      <c r="AH71" s="237">
        <f t="shared" si="16"/>
        <v>0.79489167000000005</v>
      </c>
      <c r="AI71" s="237">
        <f t="shared" si="17"/>
        <v>4.4999999999999998E-2</v>
      </c>
      <c r="AJ71" s="304">
        <f t="shared" ref="AJ71:AJ73" si="73">AK71+AL71+AM71+AN71</f>
        <v>0</v>
      </c>
      <c r="AK71" s="304">
        <v>0</v>
      </c>
      <c r="AL71" s="304">
        <v>0</v>
      </c>
      <c r="AM71" s="304">
        <v>0</v>
      </c>
      <c r="AN71" s="304">
        <v>0</v>
      </c>
      <c r="AO71" s="272">
        <f t="shared" ref="AO71:AO73" si="74">AP71+AQ71+AR71+AS71</f>
        <v>4.4999999999999998E-2</v>
      </c>
      <c r="AP71" s="272">
        <v>0</v>
      </c>
      <c r="AQ71" s="272">
        <v>0</v>
      </c>
      <c r="AR71" s="272">
        <v>0</v>
      </c>
      <c r="AS71" s="272">
        <v>4.4999999999999998E-2</v>
      </c>
      <c r="AT71" s="288">
        <f t="shared" si="67"/>
        <v>0.88440278000000005</v>
      </c>
      <c r="AU71" s="289">
        <v>0</v>
      </c>
      <c r="AV71" s="289">
        <v>8.9511110000000005E-2</v>
      </c>
      <c r="AW71" s="289">
        <v>0.79489167000000005</v>
      </c>
      <c r="AX71" s="289">
        <v>0</v>
      </c>
      <c r="AY71" s="272">
        <f t="shared" ref="AY71:AY73" si="75">AZ71+BA71+BB71+BC71</f>
        <v>0.91080874000000001</v>
      </c>
      <c r="AZ71" s="272">
        <v>0</v>
      </c>
      <c r="BA71" s="272">
        <v>0.91080874000000001</v>
      </c>
      <c r="BB71" s="272">
        <v>0</v>
      </c>
      <c r="BC71" s="272">
        <v>0</v>
      </c>
    </row>
    <row r="72" spans="1:55" s="236" customFormat="1" x14ac:dyDescent="0.2">
      <c r="A72" s="245" t="s">
        <v>930</v>
      </c>
      <c r="B72" s="246" t="s">
        <v>1061</v>
      </c>
      <c r="C72" s="245" t="s">
        <v>1048</v>
      </c>
      <c r="D72" s="271">
        <v>0.9368248079999999</v>
      </c>
      <c r="E72" s="237">
        <f t="shared" si="7"/>
        <v>0</v>
      </c>
      <c r="F72" s="237">
        <f t="shared" si="8"/>
        <v>0</v>
      </c>
      <c r="G72" s="237">
        <f t="shared" si="9"/>
        <v>0</v>
      </c>
      <c r="H72" s="237">
        <f t="shared" si="10"/>
        <v>0</v>
      </c>
      <c r="I72" s="237">
        <f t="shared" si="11"/>
        <v>0</v>
      </c>
      <c r="J72" s="303">
        <f t="shared" si="71"/>
        <v>0</v>
      </c>
      <c r="K72" s="303">
        <v>0</v>
      </c>
      <c r="L72" s="303">
        <v>0</v>
      </c>
      <c r="M72" s="303">
        <v>0</v>
      </c>
      <c r="N72" s="303">
        <v>0</v>
      </c>
      <c r="O72" s="288">
        <f t="shared" si="72"/>
        <v>0</v>
      </c>
      <c r="P72" s="288">
        <v>0</v>
      </c>
      <c r="Q72" s="288">
        <v>0</v>
      </c>
      <c r="R72" s="288">
        <v>0</v>
      </c>
      <c r="S72" s="288">
        <v>0</v>
      </c>
      <c r="T72" s="271">
        <v>0</v>
      </c>
      <c r="U72" s="271">
        <v>0</v>
      </c>
      <c r="V72" s="271">
        <v>0</v>
      </c>
      <c r="W72" s="271">
        <v>0</v>
      </c>
      <c r="X72" s="271">
        <v>0</v>
      </c>
      <c r="Y72" s="271">
        <v>0</v>
      </c>
      <c r="Z72" s="271">
        <v>0</v>
      </c>
      <c r="AA72" s="271">
        <v>0</v>
      </c>
      <c r="AB72" s="271">
        <v>0</v>
      </c>
      <c r="AC72" s="271">
        <v>0</v>
      </c>
      <c r="AD72" s="271">
        <f>0.936824808/1.2</f>
        <v>0.78068734000000006</v>
      </c>
      <c r="AE72" s="237">
        <f t="shared" si="13"/>
        <v>0.76871368000000007</v>
      </c>
      <c r="AF72" s="237">
        <f t="shared" si="14"/>
        <v>0</v>
      </c>
      <c r="AG72" s="237">
        <f t="shared" si="15"/>
        <v>0.31157201000000001</v>
      </c>
      <c r="AH72" s="237">
        <f t="shared" si="16"/>
        <v>0.45714167</v>
      </c>
      <c r="AI72" s="237">
        <f t="shared" si="17"/>
        <v>0</v>
      </c>
      <c r="AJ72" s="303">
        <f t="shared" si="73"/>
        <v>0</v>
      </c>
      <c r="AK72" s="303">
        <v>0</v>
      </c>
      <c r="AL72" s="303">
        <v>0</v>
      </c>
      <c r="AM72" s="303">
        <v>0</v>
      </c>
      <c r="AN72" s="303">
        <v>0</v>
      </c>
      <c r="AO72" s="272">
        <f t="shared" si="74"/>
        <v>0</v>
      </c>
      <c r="AP72" s="271">
        <v>0</v>
      </c>
      <c r="AQ72" s="271">
        <v>0</v>
      </c>
      <c r="AR72" s="271">
        <v>0</v>
      </c>
      <c r="AS72" s="271">
        <v>0</v>
      </c>
      <c r="AT72" s="288">
        <f t="shared" si="67"/>
        <v>0.76871368000000007</v>
      </c>
      <c r="AU72" s="288">
        <v>0</v>
      </c>
      <c r="AV72" s="288">
        <v>0.31157201000000001</v>
      </c>
      <c r="AW72" s="288">
        <v>0.45714167</v>
      </c>
      <c r="AX72" s="288">
        <v>0</v>
      </c>
      <c r="AY72" s="271">
        <f t="shared" si="75"/>
        <v>0</v>
      </c>
      <c r="AZ72" s="271">
        <v>0</v>
      </c>
      <c r="BA72" s="271">
        <v>0</v>
      </c>
      <c r="BB72" s="271">
        <v>0</v>
      </c>
      <c r="BC72" s="271">
        <v>0</v>
      </c>
    </row>
    <row r="73" spans="1:55" s="236" customFormat="1" x14ac:dyDescent="0.2">
      <c r="A73" s="245" t="s">
        <v>960</v>
      </c>
      <c r="B73" s="246" t="s">
        <v>1060</v>
      </c>
      <c r="C73" s="245" t="s">
        <v>1049</v>
      </c>
      <c r="D73" s="272">
        <v>0.69554659200000002</v>
      </c>
      <c r="E73" s="237">
        <f t="shared" si="7"/>
        <v>0</v>
      </c>
      <c r="F73" s="237">
        <f t="shared" si="8"/>
        <v>0</v>
      </c>
      <c r="G73" s="237">
        <f t="shared" si="9"/>
        <v>0</v>
      </c>
      <c r="H73" s="237">
        <f t="shared" si="10"/>
        <v>0</v>
      </c>
      <c r="I73" s="237">
        <f t="shared" si="11"/>
        <v>0</v>
      </c>
      <c r="J73" s="304">
        <f t="shared" si="71"/>
        <v>0</v>
      </c>
      <c r="K73" s="304">
        <v>0</v>
      </c>
      <c r="L73" s="304">
        <v>0</v>
      </c>
      <c r="M73" s="304">
        <v>0</v>
      </c>
      <c r="N73" s="304">
        <v>0</v>
      </c>
      <c r="O73" s="289">
        <f t="shared" si="72"/>
        <v>0</v>
      </c>
      <c r="P73" s="289">
        <v>0</v>
      </c>
      <c r="Q73" s="289">
        <v>0</v>
      </c>
      <c r="R73" s="289">
        <v>0</v>
      </c>
      <c r="S73" s="289">
        <v>0</v>
      </c>
      <c r="T73" s="272">
        <v>0</v>
      </c>
      <c r="U73" s="272">
        <v>0</v>
      </c>
      <c r="V73" s="272">
        <v>0</v>
      </c>
      <c r="W73" s="272">
        <v>0</v>
      </c>
      <c r="X73" s="272">
        <v>0</v>
      </c>
      <c r="Y73" s="272">
        <v>0</v>
      </c>
      <c r="Z73" s="272">
        <v>0</v>
      </c>
      <c r="AA73" s="272">
        <v>0</v>
      </c>
      <c r="AB73" s="272">
        <v>0</v>
      </c>
      <c r="AC73" s="272">
        <v>0</v>
      </c>
      <c r="AD73" s="272">
        <f>0.695546592/1.2</f>
        <v>0.57962216</v>
      </c>
      <c r="AE73" s="237">
        <f t="shared" si="13"/>
        <v>1.0506109800000001</v>
      </c>
      <c r="AF73" s="237">
        <f t="shared" si="14"/>
        <v>0</v>
      </c>
      <c r="AG73" s="237">
        <f t="shared" si="15"/>
        <v>0.59346931999999997</v>
      </c>
      <c r="AH73" s="237">
        <f t="shared" si="16"/>
        <v>0.45714166000000001</v>
      </c>
      <c r="AI73" s="237">
        <f t="shared" si="17"/>
        <v>0</v>
      </c>
      <c r="AJ73" s="304">
        <f t="shared" si="73"/>
        <v>0</v>
      </c>
      <c r="AK73" s="304">
        <v>0</v>
      </c>
      <c r="AL73" s="304">
        <v>0</v>
      </c>
      <c r="AM73" s="304">
        <v>0</v>
      </c>
      <c r="AN73" s="304">
        <v>0</v>
      </c>
      <c r="AO73" s="272">
        <f t="shared" si="74"/>
        <v>0</v>
      </c>
      <c r="AP73" s="272">
        <v>0</v>
      </c>
      <c r="AQ73" s="272">
        <v>0</v>
      </c>
      <c r="AR73" s="272">
        <v>0</v>
      </c>
      <c r="AS73" s="272">
        <v>0</v>
      </c>
      <c r="AT73" s="288">
        <f t="shared" si="67"/>
        <v>1.0506109800000001</v>
      </c>
      <c r="AU73" s="289">
        <v>0</v>
      </c>
      <c r="AV73" s="289">
        <v>0.59346931999999997</v>
      </c>
      <c r="AW73" s="289">
        <v>0.45714166000000001</v>
      </c>
      <c r="AX73" s="289">
        <v>0</v>
      </c>
      <c r="AY73" s="272">
        <f t="shared" si="75"/>
        <v>0</v>
      </c>
      <c r="AZ73" s="272">
        <v>0</v>
      </c>
      <c r="BA73" s="272">
        <v>0</v>
      </c>
      <c r="BB73" s="272">
        <v>0</v>
      </c>
      <c r="BC73" s="272">
        <v>0</v>
      </c>
    </row>
    <row r="74" spans="1:55" s="236" customFormat="1" x14ac:dyDescent="0.2">
      <c r="A74" s="240" t="s">
        <v>150</v>
      </c>
      <c r="B74" s="241" t="s">
        <v>918</v>
      </c>
      <c r="C74" s="240" t="s">
        <v>890</v>
      </c>
      <c r="D74" s="242">
        <f>D75+D78</f>
        <v>5.404761744</v>
      </c>
      <c r="E74" s="237">
        <f t="shared" si="7"/>
        <v>2.4905059999999999</v>
      </c>
      <c r="F74" s="237">
        <f t="shared" si="8"/>
        <v>0</v>
      </c>
      <c r="G74" s="237">
        <f t="shared" si="9"/>
        <v>2.4564279999999998</v>
      </c>
      <c r="H74" s="237">
        <f t="shared" si="10"/>
        <v>2.375E-2</v>
      </c>
      <c r="I74" s="237">
        <f t="shared" si="11"/>
        <v>1.0328E-2</v>
      </c>
      <c r="J74" s="298">
        <f>J75+J78</f>
        <v>0</v>
      </c>
      <c r="K74" s="298">
        <f t="shared" ref="K74:AC74" si="76">K75+K78</f>
        <v>0</v>
      </c>
      <c r="L74" s="298">
        <f t="shared" si="76"/>
        <v>0</v>
      </c>
      <c r="M74" s="298">
        <f t="shared" si="76"/>
        <v>0</v>
      </c>
      <c r="N74" s="298">
        <f t="shared" si="76"/>
        <v>0</v>
      </c>
      <c r="O74" s="283">
        <f t="shared" si="76"/>
        <v>2.4905059999999999</v>
      </c>
      <c r="P74" s="283">
        <f t="shared" si="76"/>
        <v>0</v>
      </c>
      <c r="Q74" s="283">
        <f t="shared" si="76"/>
        <v>2.4564279999999998</v>
      </c>
      <c r="R74" s="283">
        <f t="shared" si="76"/>
        <v>2.375E-2</v>
      </c>
      <c r="S74" s="283">
        <f t="shared" si="76"/>
        <v>1.0328E-2</v>
      </c>
      <c r="T74" s="242">
        <f t="shared" si="76"/>
        <v>0</v>
      </c>
      <c r="U74" s="242">
        <f t="shared" si="76"/>
        <v>0</v>
      </c>
      <c r="V74" s="242">
        <f t="shared" si="76"/>
        <v>0</v>
      </c>
      <c r="W74" s="242">
        <f t="shared" si="76"/>
        <v>0</v>
      </c>
      <c r="X74" s="242">
        <f t="shared" si="76"/>
        <v>0</v>
      </c>
      <c r="Y74" s="242">
        <f t="shared" si="76"/>
        <v>0</v>
      </c>
      <c r="Z74" s="242">
        <f t="shared" si="76"/>
        <v>0</v>
      </c>
      <c r="AA74" s="242">
        <f t="shared" si="76"/>
        <v>0</v>
      </c>
      <c r="AB74" s="242">
        <f t="shared" si="76"/>
        <v>0</v>
      </c>
      <c r="AC74" s="242">
        <f t="shared" si="76"/>
        <v>0</v>
      </c>
      <c r="AD74" s="242">
        <f>AD75+AD78</f>
        <v>4.5039681200000006</v>
      </c>
      <c r="AE74" s="237">
        <f t="shared" si="13"/>
        <v>4.2394544199999995</v>
      </c>
      <c r="AF74" s="237">
        <f t="shared" si="14"/>
        <v>0</v>
      </c>
      <c r="AG74" s="237">
        <f t="shared" si="15"/>
        <v>4.2234544199999995</v>
      </c>
      <c r="AH74" s="237">
        <f t="shared" si="16"/>
        <v>0</v>
      </c>
      <c r="AI74" s="237">
        <f t="shared" si="17"/>
        <v>1.6E-2</v>
      </c>
      <c r="AJ74" s="298">
        <f t="shared" ref="AJ74:BC74" si="77">AJ75+AJ78</f>
        <v>1.6E-2</v>
      </c>
      <c r="AK74" s="298">
        <f t="shared" si="77"/>
        <v>0</v>
      </c>
      <c r="AL74" s="298">
        <f t="shared" si="77"/>
        <v>0</v>
      </c>
      <c r="AM74" s="298">
        <f t="shared" si="77"/>
        <v>0</v>
      </c>
      <c r="AN74" s="298">
        <f t="shared" si="77"/>
        <v>1.6E-2</v>
      </c>
      <c r="AO74" s="242">
        <f t="shared" si="77"/>
        <v>0</v>
      </c>
      <c r="AP74" s="242">
        <f t="shared" si="77"/>
        <v>0</v>
      </c>
      <c r="AQ74" s="242">
        <f t="shared" si="77"/>
        <v>0</v>
      </c>
      <c r="AR74" s="242">
        <f t="shared" si="77"/>
        <v>0</v>
      </c>
      <c r="AS74" s="242">
        <f t="shared" si="77"/>
        <v>0</v>
      </c>
      <c r="AT74" s="283">
        <f t="shared" si="77"/>
        <v>3.1443030799999998</v>
      </c>
      <c r="AU74" s="283">
        <f t="shared" si="77"/>
        <v>0</v>
      </c>
      <c r="AV74" s="283">
        <f t="shared" si="77"/>
        <v>3.1443030799999998</v>
      </c>
      <c r="AW74" s="283">
        <f t="shared" si="77"/>
        <v>0</v>
      </c>
      <c r="AX74" s="283">
        <f t="shared" si="77"/>
        <v>0</v>
      </c>
      <c r="AY74" s="242">
        <f t="shared" si="77"/>
        <v>1.0791513400000001</v>
      </c>
      <c r="AZ74" s="242">
        <f t="shared" si="77"/>
        <v>0</v>
      </c>
      <c r="BA74" s="242">
        <f t="shared" si="77"/>
        <v>1.0791513400000001</v>
      </c>
      <c r="BB74" s="242">
        <f t="shared" si="77"/>
        <v>0</v>
      </c>
      <c r="BC74" s="242">
        <f t="shared" si="77"/>
        <v>0</v>
      </c>
    </row>
    <row r="75" spans="1:55" s="236" customFormat="1" x14ac:dyDescent="0.2">
      <c r="A75" s="240" t="s">
        <v>919</v>
      </c>
      <c r="B75" s="241" t="s">
        <v>920</v>
      </c>
      <c r="C75" s="240" t="s">
        <v>890</v>
      </c>
      <c r="D75" s="273">
        <f>D76+D77</f>
        <v>3.3765671999999998</v>
      </c>
      <c r="E75" s="237">
        <f t="shared" si="7"/>
        <v>2.4905059999999999</v>
      </c>
      <c r="F75" s="237">
        <f t="shared" si="8"/>
        <v>0</v>
      </c>
      <c r="G75" s="237">
        <f t="shared" si="9"/>
        <v>2.4564279999999998</v>
      </c>
      <c r="H75" s="237">
        <f t="shared" si="10"/>
        <v>2.375E-2</v>
      </c>
      <c r="I75" s="237">
        <f t="shared" si="11"/>
        <v>1.0328E-2</v>
      </c>
      <c r="J75" s="305">
        <f>J76+J77</f>
        <v>0</v>
      </c>
      <c r="K75" s="305">
        <f t="shared" ref="K75:AC75" si="78">K76+K77</f>
        <v>0</v>
      </c>
      <c r="L75" s="305">
        <f t="shared" si="78"/>
        <v>0</v>
      </c>
      <c r="M75" s="305">
        <f t="shared" si="78"/>
        <v>0</v>
      </c>
      <c r="N75" s="305">
        <f t="shared" si="78"/>
        <v>0</v>
      </c>
      <c r="O75" s="290">
        <f t="shared" si="78"/>
        <v>2.4905059999999999</v>
      </c>
      <c r="P75" s="290">
        <f t="shared" si="78"/>
        <v>0</v>
      </c>
      <c r="Q75" s="290">
        <f t="shared" si="78"/>
        <v>2.4564279999999998</v>
      </c>
      <c r="R75" s="290">
        <f t="shared" si="78"/>
        <v>2.375E-2</v>
      </c>
      <c r="S75" s="290">
        <f t="shared" si="78"/>
        <v>1.0328E-2</v>
      </c>
      <c r="T75" s="273">
        <f t="shared" si="78"/>
        <v>0</v>
      </c>
      <c r="U75" s="273">
        <f t="shared" si="78"/>
        <v>0</v>
      </c>
      <c r="V75" s="273">
        <f t="shared" si="78"/>
        <v>0</v>
      </c>
      <c r="W75" s="273">
        <f t="shared" si="78"/>
        <v>0</v>
      </c>
      <c r="X75" s="273">
        <f t="shared" si="78"/>
        <v>0</v>
      </c>
      <c r="Y75" s="273">
        <f t="shared" si="78"/>
        <v>0</v>
      </c>
      <c r="Z75" s="273">
        <f t="shared" si="78"/>
        <v>0</v>
      </c>
      <c r="AA75" s="273">
        <f t="shared" si="78"/>
        <v>0</v>
      </c>
      <c r="AB75" s="273">
        <f t="shared" si="78"/>
        <v>0</v>
      </c>
      <c r="AC75" s="273">
        <f t="shared" si="78"/>
        <v>0</v>
      </c>
      <c r="AD75" s="273">
        <f>AD76+AD77</f>
        <v>2.8138060000000005</v>
      </c>
      <c r="AE75" s="237">
        <f t="shared" si="13"/>
        <v>2.97603543</v>
      </c>
      <c r="AF75" s="237">
        <f t="shared" si="14"/>
        <v>0</v>
      </c>
      <c r="AG75" s="237">
        <f t="shared" si="15"/>
        <v>2.97603543</v>
      </c>
      <c r="AH75" s="237">
        <f t="shared" si="16"/>
        <v>0</v>
      </c>
      <c r="AI75" s="237">
        <f t="shared" si="17"/>
        <v>0</v>
      </c>
      <c r="AJ75" s="305">
        <f t="shared" ref="AJ75:BC75" si="79">AJ76+AJ77</f>
        <v>0</v>
      </c>
      <c r="AK75" s="305">
        <f t="shared" si="79"/>
        <v>0</v>
      </c>
      <c r="AL75" s="305">
        <f t="shared" si="79"/>
        <v>0</v>
      </c>
      <c r="AM75" s="305">
        <f t="shared" si="79"/>
        <v>0</v>
      </c>
      <c r="AN75" s="305">
        <f t="shared" si="79"/>
        <v>0</v>
      </c>
      <c r="AO75" s="273">
        <f t="shared" si="79"/>
        <v>0</v>
      </c>
      <c r="AP75" s="273">
        <f t="shared" si="79"/>
        <v>0</v>
      </c>
      <c r="AQ75" s="273">
        <f t="shared" si="79"/>
        <v>0</v>
      </c>
      <c r="AR75" s="273">
        <f t="shared" si="79"/>
        <v>0</v>
      </c>
      <c r="AS75" s="273">
        <f t="shared" si="79"/>
        <v>0</v>
      </c>
      <c r="AT75" s="290">
        <f t="shared" si="79"/>
        <v>1.971784</v>
      </c>
      <c r="AU75" s="290">
        <f t="shared" si="79"/>
        <v>0</v>
      </c>
      <c r="AV75" s="290">
        <f t="shared" si="79"/>
        <v>1.971784</v>
      </c>
      <c r="AW75" s="290">
        <f t="shared" si="79"/>
        <v>0</v>
      </c>
      <c r="AX75" s="290">
        <f t="shared" si="79"/>
        <v>0</v>
      </c>
      <c r="AY75" s="273">
        <f t="shared" si="79"/>
        <v>1.0042514300000001</v>
      </c>
      <c r="AZ75" s="273">
        <f t="shared" si="79"/>
        <v>0</v>
      </c>
      <c r="BA75" s="273">
        <f t="shared" si="79"/>
        <v>1.0042514300000001</v>
      </c>
      <c r="BB75" s="273">
        <f t="shared" si="79"/>
        <v>0</v>
      </c>
      <c r="BC75" s="273">
        <f t="shared" si="79"/>
        <v>0</v>
      </c>
    </row>
    <row r="76" spans="1:55" s="236" customFormat="1" x14ac:dyDescent="0.2">
      <c r="A76" s="261" t="s">
        <v>921</v>
      </c>
      <c r="B76" s="264" t="s">
        <v>1001</v>
      </c>
      <c r="C76" s="261" t="s">
        <v>1050</v>
      </c>
      <c r="D76" s="275">
        <v>2.9886071999999997</v>
      </c>
      <c r="E76" s="237">
        <f t="shared" si="7"/>
        <v>2.4905059999999999</v>
      </c>
      <c r="F76" s="237">
        <f t="shared" si="8"/>
        <v>0</v>
      </c>
      <c r="G76" s="237">
        <f t="shared" si="9"/>
        <v>2.4564279999999998</v>
      </c>
      <c r="H76" s="237">
        <f t="shared" si="10"/>
        <v>2.375E-2</v>
      </c>
      <c r="I76" s="237">
        <f t="shared" si="11"/>
        <v>1.0328E-2</v>
      </c>
      <c r="J76" s="308">
        <f t="shared" ref="J76:J77" si="80">K76+L76+M76+N76</f>
        <v>0</v>
      </c>
      <c r="K76" s="307">
        <v>0</v>
      </c>
      <c r="L76" s="307">
        <v>0</v>
      </c>
      <c r="M76" s="307">
        <v>0</v>
      </c>
      <c r="N76" s="307">
        <v>0</v>
      </c>
      <c r="O76" s="293">
        <f t="shared" ref="O76:O77" si="81">P76+Q76+R76+S76</f>
        <v>2.4905059999999999</v>
      </c>
      <c r="P76" s="292">
        <v>0</v>
      </c>
      <c r="Q76" s="292">
        <v>2.4564279999999998</v>
      </c>
      <c r="R76" s="292">
        <v>2.375E-2</v>
      </c>
      <c r="S76" s="292">
        <v>1.0328E-2</v>
      </c>
      <c r="T76" s="275">
        <v>0</v>
      </c>
      <c r="U76" s="275">
        <v>0</v>
      </c>
      <c r="V76" s="275">
        <v>0</v>
      </c>
      <c r="W76" s="275">
        <v>0</v>
      </c>
      <c r="X76" s="275">
        <v>0</v>
      </c>
      <c r="Y76" s="275">
        <v>0</v>
      </c>
      <c r="Z76" s="275">
        <v>0</v>
      </c>
      <c r="AA76" s="275">
        <v>0</v>
      </c>
      <c r="AB76" s="275">
        <v>0</v>
      </c>
      <c r="AC76" s="275">
        <v>0</v>
      </c>
      <c r="AD76" s="275">
        <f>2.9886072/1.2</f>
        <v>2.4905060000000003</v>
      </c>
      <c r="AE76" s="237">
        <f t="shared" si="13"/>
        <v>2.6641367200000001</v>
      </c>
      <c r="AF76" s="237">
        <f t="shared" si="14"/>
        <v>0</v>
      </c>
      <c r="AG76" s="237">
        <f t="shared" si="15"/>
        <v>2.6641367200000001</v>
      </c>
      <c r="AH76" s="237">
        <f t="shared" si="16"/>
        <v>0</v>
      </c>
      <c r="AI76" s="237">
        <f t="shared" si="17"/>
        <v>0</v>
      </c>
      <c r="AJ76" s="308">
        <f t="shared" ref="AJ76:AJ77" si="82">AK76+AL76+AM76+AN76</f>
        <v>0</v>
      </c>
      <c r="AK76" s="307">
        <v>0</v>
      </c>
      <c r="AL76" s="307">
        <v>0</v>
      </c>
      <c r="AM76" s="307">
        <v>0</v>
      </c>
      <c r="AN76" s="307">
        <v>0</v>
      </c>
      <c r="AO76" s="309">
        <f t="shared" ref="AO76:AO77" si="83">AP76+AQ76+AR76+AS76</f>
        <v>0</v>
      </c>
      <c r="AP76" s="279">
        <v>0</v>
      </c>
      <c r="AQ76" s="279">
        <v>0</v>
      </c>
      <c r="AR76" s="279">
        <v>0</v>
      </c>
      <c r="AS76" s="279">
        <v>0</v>
      </c>
      <c r="AT76" s="293">
        <f t="shared" ref="AT76:AT77" si="84">AU76+AV76+AW76+AX76</f>
        <v>1.971784</v>
      </c>
      <c r="AU76" s="292">
        <v>0</v>
      </c>
      <c r="AV76" s="292">
        <v>1.971784</v>
      </c>
      <c r="AW76" s="292">
        <v>0</v>
      </c>
      <c r="AX76" s="292">
        <v>0</v>
      </c>
      <c r="AY76" s="275">
        <f t="shared" ref="AY76:AY77" si="85">AZ76+BA76+BB76+BC76</f>
        <v>0.69235272000000003</v>
      </c>
      <c r="AZ76" s="275">
        <v>0</v>
      </c>
      <c r="BA76" s="275">
        <v>0.69235272000000003</v>
      </c>
      <c r="BB76" s="275">
        <v>0</v>
      </c>
      <c r="BC76" s="275">
        <v>0</v>
      </c>
    </row>
    <row r="77" spans="1:55" s="236" customFormat="1" x14ac:dyDescent="0.2">
      <c r="A77" s="261" t="s">
        <v>922</v>
      </c>
      <c r="B77" s="264" t="s">
        <v>1002</v>
      </c>
      <c r="C77" s="261" t="s">
        <v>1051</v>
      </c>
      <c r="D77" s="276">
        <v>0.38795999999999997</v>
      </c>
      <c r="E77" s="237">
        <f t="shared" si="7"/>
        <v>0</v>
      </c>
      <c r="F77" s="237">
        <f t="shared" si="8"/>
        <v>0</v>
      </c>
      <c r="G77" s="237">
        <f t="shared" si="9"/>
        <v>0</v>
      </c>
      <c r="H77" s="237">
        <f t="shared" si="10"/>
        <v>0</v>
      </c>
      <c r="I77" s="237">
        <f t="shared" si="11"/>
        <v>0</v>
      </c>
      <c r="J77" s="308">
        <f t="shared" si="80"/>
        <v>0</v>
      </c>
      <c r="K77" s="308">
        <v>0</v>
      </c>
      <c r="L77" s="308">
        <v>0</v>
      </c>
      <c r="M77" s="308">
        <v>0</v>
      </c>
      <c r="N77" s="308">
        <v>0</v>
      </c>
      <c r="O77" s="293">
        <f t="shared" si="81"/>
        <v>0</v>
      </c>
      <c r="P77" s="293">
        <v>0</v>
      </c>
      <c r="Q77" s="293">
        <v>0</v>
      </c>
      <c r="R77" s="293">
        <v>0</v>
      </c>
      <c r="S77" s="293">
        <v>0</v>
      </c>
      <c r="T77" s="276">
        <v>0</v>
      </c>
      <c r="U77" s="276">
        <v>0</v>
      </c>
      <c r="V77" s="276">
        <v>0</v>
      </c>
      <c r="W77" s="276">
        <v>0</v>
      </c>
      <c r="X77" s="276">
        <v>0</v>
      </c>
      <c r="Y77" s="276">
        <v>0</v>
      </c>
      <c r="Z77" s="276">
        <v>0</v>
      </c>
      <c r="AA77" s="276">
        <v>0</v>
      </c>
      <c r="AB77" s="276">
        <v>0</v>
      </c>
      <c r="AC77" s="276">
        <v>0</v>
      </c>
      <c r="AD77" s="276">
        <f>0.38796/1.2</f>
        <v>0.32330000000000003</v>
      </c>
      <c r="AE77" s="237">
        <f t="shared" si="13"/>
        <v>0.31189871000000002</v>
      </c>
      <c r="AF77" s="237">
        <f t="shared" si="14"/>
        <v>0</v>
      </c>
      <c r="AG77" s="237">
        <f t="shared" si="15"/>
        <v>0.31189871000000002</v>
      </c>
      <c r="AH77" s="237">
        <f t="shared" si="16"/>
        <v>0</v>
      </c>
      <c r="AI77" s="237">
        <f t="shared" si="17"/>
        <v>0</v>
      </c>
      <c r="AJ77" s="308">
        <f t="shared" si="82"/>
        <v>0</v>
      </c>
      <c r="AK77" s="308">
        <v>0</v>
      </c>
      <c r="AL77" s="308">
        <v>0</v>
      </c>
      <c r="AM77" s="308">
        <v>0</v>
      </c>
      <c r="AN77" s="308">
        <v>0</v>
      </c>
      <c r="AO77" s="309">
        <f t="shared" si="83"/>
        <v>0</v>
      </c>
      <c r="AP77" s="309">
        <v>0</v>
      </c>
      <c r="AQ77" s="309">
        <v>0</v>
      </c>
      <c r="AR77" s="309">
        <v>0</v>
      </c>
      <c r="AS77" s="309">
        <v>0</v>
      </c>
      <c r="AT77" s="293">
        <f t="shared" si="84"/>
        <v>0</v>
      </c>
      <c r="AU77" s="293">
        <v>0</v>
      </c>
      <c r="AV77" s="293">
        <v>0</v>
      </c>
      <c r="AW77" s="293">
        <v>0</v>
      </c>
      <c r="AX77" s="293">
        <v>0</v>
      </c>
      <c r="AY77" s="276">
        <f t="shared" si="85"/>
        <v>0.31189871000000002</v>
      </c>
      <c r="AZ77" s="276">
        <v>0</v>
      </c>
      <c r="BA77" s="276">
        <v>0.31189871000000002</v>
      </c>
      <c r="BB77" s="276">
        <v>0</v>
      </c>
      <c r="BC77" s="276">
        <v>0</v>
      </c>
    </row>
    <row r="78" spans="1:55" s="236" customFormat="1" x14ac:dyDescent="0.2">
      <c r="A78" s="240" t="s">
        <v>935</v>
      </c>
      <c r="B78" s="241" t="s">
        <v>936</v>
      </c>
      <c r="C78" s="240" t="s">
        <v>890</v>
      </c>
      <c r="D78" s="273">
        <f>D79+D80</f>
        <v>2.0281945440000002</v>
      </c>
      <c r="E78" s="237">
        <f t="shared" si="7"/>
        <v>0</v>
      </c>
      <c r="F78" s="237">
        <f t="shared" si="8"/>
        <v>0</v>
      </c>
      <c r="G78" s="237">
        <f t="shared" si="9"/>
        <v>0</v>
      </c>
      <c r="H78" s="237">
        <f t="shared" si="10"/>
        <v>0</v>
      </c>
      <c r="I78" s="237">
        <f t="shared" si="11"/>
        <v>0</v>
      </c>
      <c r="J78" s="305">
        <f>J79+J80</f>
        <v>0</v>
      </c>
      <c r="K78" s="305">
        <f t="shared" ref="K78:AC78" si="86">K79+K80</f>
        <v>0</v>
      </c>
      <c r="L78" s="305">
        <f t="shared" si="86"/>
        <v>0</v>
      </c>
      <c r="M78" s="305">
        <f t="shared" si="86"/>
        <v>0</v>
      </c>
      <c r="N78" s="305">
        <f t="shared" si="86"/>
        <v>0</v>
      </c>
      <c r="O78" s="290">
        <f t="shared" si="86"/>
        <v>0</v>
      </c>
      <c r="P78" s="290">
        <f t="shared" si="86"/>
        <v>0</v>
      </c>
      <c r="Q78" s="290">
        <f t="shared" si="86"/>
        <v>0</v>
      </c>
      <c r="R78" s="290">
        <f t="shared" si="86"/>
        <v>0</v>
      </c>
      <c r="S78" s="290">
        <f t="shared" si="86"/>
        <v>0</v>
      </c>
      <c r="T78" s="273">
        <f t="shared" si="86"/>
        <v>0</v>
      </c>
      <c r="U78" s="273">
        <f t="shared" si="86"/>
        <v>0</v>
      </c>
      <c r="V78" s="273">
        <f t="shared" si="86"/>
        <v>0</v>
      </c>
      <c r="W78" s="273">
        <f t="shared" si="86"/>
        <v>0</v>
      </c>
      <c r="X78" s="273">
        <f t="shared" si="86"/>
        <v>0</v>
      </c>
      <c r="Y78" s="273">
        <f t="shared" si="86"/>
        <v>0</v>
      </c>
      <c r="Z78" s="273">
        <f t="shared" si="86"/>
        <v>0</v>
      </c>
      <c r="AA78" s="273">
        <f t="shared" si="86"/>
        <v>0</v>
      </c>
      <c r="AB78" s="273">
        <f t="shared" si="86"/>
        <v>0</v>
      </c>
      <c r="AC78" s="273">
        <f t="shared" si="86"/>
        <v>0</v>
      </c>
      <c r="AD78" s="273">
        <f>AD79+AD80</f>
        <v>1.6901621199999999</v>
      </c>
      <c r="AE78" s="237">
        <f t="shared" si="13"/>
        <v>1.2634189899999999</v>
      </c>
      <c r="AF78" s="237">
        <f t="shared" si="14"/>
        <v>0</v>
      </c>
      <c r="AG78" s="237">
        <f t="shared" si="15"/>
        <v>1.2474189899999999</v>
      </c>
      <c r="AH78" s="237">
        <f t="shared" si="16"/>
        <v>0</v>
      </c>
      <c r="AI78" s="237">
        <f t="shared" si="17"/>
        <v>1.6E-2</v>
      </c>
      <c r="AJ78" s="305">
        <f t="shared" ref="AJ78:BC78" si="87">AJ79+AJ80</f>
        <v>1.6E-2</v>
      </c>
      <c r="AK78" s="305">
        <f t="shared" si="87"/>
        <v>0</v>
      </c>
      <c r="AL78" s="305">
        <f t="shared" si="87"/>
        <v>0</v>
      </c>
      <c r="AM78" s="305">
        <f t="shared" si="87"/>
        <v>0</v>
      </c>
      <c r="AN78" s="305">
        <f t="shared" si="87"/>
        <v>1.6E-2</v>
      </c>
      <c r="AO78" s="273">
        <f t="shared" si="87"/>
        <v>0</v>
      </c>
      <c r="AP78" s="273">
        <f t="shared" si="87"/>
        <v>0</v>
      </c>
      <c r="AQ78" s="273">
        <f t="shared" si="87"/>
        <v>0</v>
      </c>
      <c r="AR78" s="273">
        <f t="shared" si="87"/>
        <v>0</v>
      </c>
      <c r="AS78" s="273">
        <f t="shared" si="87"/>
        <v>0</v>
      </c>
      <c r="AT78" s="290">
        <f t="shared" si="87"/>
        <v>1.1725190799999998</v>
      </c>
      <c r="AU78" s="290">
        <f t="shared" si="87"/>
        <v>0</v>
      </c>
      <c r="AV78" s="290">
        <f t="shared" si="87"/>
        <v>1.1725190799999998</v>
      </c>
      <c r="AW78" s="290">
        <f t="shared" si="87"/>
        <v>0</v>
      </c>
      <c r="AX78" s="290">
        <f t="shared" si="87"/>
        <v>0</v>
      </c>
      <c r="AY78" s="273">
        <f t="shared" si="87"/>
        <v>7.489991E-2</v>
      </c>
      <c r="AZ78" s="273">
        <f t="shared" si="87"/>
        <v>0</v>
      </c>
      <c r="BA78" s="273">
        <f t="shared" si="87"/>
        <v>7.489991E-2</v>
      </c>
      <c r="BB78" s="273">
        <f t="shared" si="87"/>
        <v>0</v>
      </c>
      <c r="BC78" s="273">
        <f t="shared" si="87"/>
        <v>0</v>
      </c>
    </row>
    <row r="79" spans="1:55" s="236" customFormat="1" x14ac:dyDescent="0.2">
      <c r="A79" s="261" t="s">
        <v>961</v>
      </c>
      <c r="B79" s="264" t="s">
        <v>1003</v>
      </c>
      <c r="C79" s="261" t="s">
        <v>1052</v>
      </c>
      <c r="D79" s="276">
        <v>0.39500999999999997</v>
      </c>
      <c r="E79" s="237">
        <f t="shared" si="7"/>
        <v>0</v>
      </c>
      <c r="F79" s="237">
        <f t="shared" si="8"/>
        <v>0</v>
      </c>
      <c r="G79" s="237">
        <f t="shared" si="9"/>
        <v>0</v>
      </c>
      <c r="H79" s="237">
        <f t="shared" si="10"/>
        <v>0</v>
      </c>
      <c r="I79" s="237">
        <f t="shared" si="11"/>
        <v>0</v>
      </c>
      <c r="J79" s="308">
        <f t="shared" ref="J79:J80" si="88">K79+L79+M79+N79</f>
        <v>0</v>
      </c>
      <c r="K79" s="308">
        <v>0</v>
      </c>
      <c r="L79" s="308">
        <v>0</v>
      </c>
      <c r="M79" s="308">
        <v>0</v>
      </c>
      <c r="N79" s="308">
        <v>0</v>
      </c>
      <c r="O79" s="293">
        <f t="shared" ref="O79:O80" si="89">P79+Q79+R79+S79</f>
        <v>0</v>
      </c>
      <c r="P79" s="293">
        <v>0</v>
      </c>
      <c r="Q79" s="293">
        <v>0</v>
      </c>
      <c r="R79" s="293">
        <v>0</v>
      </c>
      <c r="S79" s="293">
        <v>0</v>
      </c>
      <c r="T79" s="276">
        <v>0</v>
      </c>
      <c r="U79" s="276">
        <v>0</v>
      </c>
      <c r="V79" s="276">
        <v>0</v>
      </c>
      <c r="W79" s="276">
        <v>0</v>
      </c>
      <c r="X79" s="276">
        <v>0</v>
      </c>
      <c r="Y79" s="276">
        <v>0</v>
      </c>
      <c r="Z79" s="276">
        <v>0</v>
      </c>
      <c r="AA79" s="276">
        <v>0</v>
      </c>
      <c r="AB79" s="276">
        <v>0</v>
      </c>
      <c r="AC79" s="276">
        <v>0</v>
      </c>
      <c r="AD79" s="276">
        <f>0.39501/1.2</f>
        <v>0.329175</v>
      </c>
      <c r="AE79" s="237">
        <f t="shared" si="13"/>
        <v>0.53248672999999991</v>
      </c>
      <c r="AF79" s="237">
        <f t="shared" si="14"/>
        <v>0</v>
      </c>
      <c r="AG79" s="237">
        <f t="shared" si="15"/>
        <v>0.53248672999999991</v>
      </c>
      <c r="AH79" s="237">
        <f t="shared" si="16"/>
        <v>0</v>
      </c>
      <c r="AI79" s="237">
        <f t="shared" si="17"/>
        <v>0</v>
      </c>
      <c r="AJ79" s="308">
        <f t="shared" ref="AJ79:AJ80" si="90">AK79+AL79+AM79+AN79</f>
        <v>0</v>
      </c>
      <c r="AK79" s="308">
        <v>0</v>
      </c>
      <c r="AL79" s="308">
        <v>0</v>
      </c>
      <c r="AM79" s="308">
        <v>0</v>
      </c>
      <c r="AN79" s="308">
        <v>0</v>
      </c>
      <c r="AO79" s="309">
        <f t="shared" ref="AO79:AO80" si="91">AP79+AQ79+AR79+AS79</f>
        <v>0</v>
      </c>
      <c r="AP79" s="309">
        <v>0</v>
      </c>
      <c r="AQ79" s="309">
        <v>0</v>
      </c>
      <c r="AR79" s="309">
        <v>0</v>
      </c>
      <c r="AS79" s="309">
        <v>0</v>
      </c>
      <c r="AT79" s="293">
        <f t="shared" ref="AT79:AT80" si="92">AU79+AV79+AW79+AX79</f>
        <v>0.45758681999999995</v>
      </c>
      <c r="AU79" s="293">
        <v>0</v>
      </c>
      <c r="AV79" s="293">
        <v>0.45758681999999995</v>
      </c>
      <c r="AW79" s="293">
        <v>0</v>
      </c>
      <c r="AX79" s="293">
        <v>0</v>
      </c>
      <c r="AY79" s="276">
        <f t="shared" ref="AY79:AY80" si="93">AZ79+BA79+BB79+BC79</f>
        <v>7.489991E-2</v>
      </c>
      <c r="AZ79" s="276">
        <v>0</v>
      </c>
      <c r="BA79" s="276">
        <v>7.489991E-2</v>
      </c>
      <c r="BB79" s="276">
        <v>0</v>
      </c>
      <c r="BC79" s="276">
        <v>0</v>
      </c>
    </row>
    <row r="80" spans="1:55" s="236" customFormat="1" x14ac:dyDescent="0.2">
      <c r="A80" s="261" t="s">
        <v>962</v>
      </c>
      <c r="B80" s="264" t="s">
        <v>1004</v>
      </c>
      <c r="C80" s="261" t="s">
        <v>1053</v>
      </c>
      <c r="D80" s="270">
        <v>1.6331845440000001</v>
      </c>
      <c r="E80" s="237">
        <f t="shared" si="7"/>
        <v>0</v>
      </c>
      <c r="F80" s="237">
        <f t="shared" si="8"/>
        <v>0</v>
      </c>
      <c r="G80" s="237">
        <f t="shared" si="9"/>
        <v>0</v>
      </c>
      <c r="H80" s="237">
        <f t="shared" si="10"/>
        <v>0</v>
      </c>
      <c r="I80" s="237">
        <f t="shared" si="11"/>
        <v>0</v>
      </c>
      <c r="J80" s="308">
        <f t="shared" si="88"/>
        <v>0</v>
      </c>
      <c r="K80" s="302">
        <v>0</v>
      </c>
      <c r="L80" s="302">
        <v>0</v>
      </c>
      <c r="M80" s="302">
        <v>0</v>
      </c>
      <c r="N80" s="302">
        <v>0</v>
      </c>
      <c r="O80" s="293">
        <f t="shared" si="89"/>
        <v>0</v>
      </c>
      <c r="P80" s="287">
        <v>0</v>
      </c>
      <c r="Q80" s="287">
        <v>0</v>
      </c>
      <c r="R80" s="287">
        <v>0</v>
      </c>
      <c r="S80" s="287">
        <v>0</v>
      </c>
      <c r="T80" s="270">
        <v>0</v>
      </c>
      <c r="U80" s="270">
        <v>0</v>
      </c>
      <c r="V80" s="270">
        <v>0</v>
      </c>
      <c r="W80" s="270">
        <v>0</v>
      </c>
      <c r="X80" s="270">
        <v>0</v>
      </c>
      <c r="Y80" s="270">
        <v>0</v>
      </c>
      <c r="Z80" s="270">
        <v>0</v>
      </c>
      <c r="AA80" s="270">
        <v>0</v>
      </c>
      <c r="AB80" s="270">
        <v>0</v>
      </c>
      <c r="AC80" s="270">
        <v>0</v>
      </c>
      <c r="AD80" s="270">
        <f>1.633184544/1.2</f>
        <v>1.3609871199999999</v>
      </c>
      <c r="AE80" s="237">
        <f t="shared" si="13"/>
        <v>0.73093226</v>
      </c>
      <c r="AF80" s="237">
        <f t="shared" si="14"/>
        <v>0</v>
      </c>
      <c r="AG80" s="237">
        <f t="shared" si="15"/>
        <v>0.71493225999999999</v>
      </c>
      <c r="AH80" s="237">
        <f t="shared" si="16"/>
        <v>0</v>
      </c>
      <c r="AI80" s="237">
        <f t="shared" si="17"/>
        <v>1.6E-2</v>
      </c>
      <c r="AJ80" s="308">
        <f t="shared" si="90"/>
        <v>1.6E-2</v>
      </c>
      <c r="AK80" s="302">
        <v>0</v>
      </c>
      <c r="AL80" s="302">
        <v>0</v>
      </c>
      <c r="AM80" s="302">
        <v>0</v>
      </c>
      <c r="AN80" s="302">
        <v>1.6E-2</v>
      </c>
      <c r="AO80" s="309">
        <f t="shared" si="91"/>
        <v>0</v>
      </c>
      <c r="AP80" s="312">
        <v>0</v>
      </c>
      <c r="AQ80" s="312">
        <v>0</v>
      </c>
      <c r="AR80" s="312">
        <v>0</v>
      </c>
      <c r="AS80" s="312">
        <v>0</v>
      </c>
      <c r="AT80" s="293">
        <f>AU80+AV80+AW80+AX80</f>
        <v>0.71493225999999999</v>
      </c>
      <c r="AU80" s="287">
        <v>0</v>
      </c>
      <c r="AV80" s="287">
        <v>0.71493225999999999</v>
      </c>
      <c r="AW80" s="287">
        <v>0</v>
      </c>
      <c r="AX80" s="287">
        <v>0</v>
      </c>
      <c r="AY80" s="270">
        <f t="shared" si="93"/>
        <v>0</v>
      </c>
      <c r="AZ80" s="270">
        <v>0</v>
      </c>
      <c r="BA80" s="270">
        <v>0</v>
      </c>
      <c r="BB80" s="270">
        <v>0</v>
      </c>
      <c r="BC80" s="270">
        <v>0</v>
      </c>
    </row>
    <row r="81" spans="1:96" x14ac:dyDescent="0.2">
      <c r="A81" s="262" t="s">
        <v>151</v>
      </c>
      <c r="B81" s="267" t="s">
        <v>923</v>
      </c>
      <c r="C81" s="267" t="s">
        <v>890</v>
      </c>
      <c r="D81" s="242">
        <f>D82</f>
        <v>5.7751600120000086</v>
      </c>
      <c r="E81" s="237">
        <f t="shared" si="7"/>
        <v>2.4077499966666691</v>
      </c>
      <c r="F81" s="237">
        <f t="shared" si="8"/>
        <v>0</v>
      </c>
      <c r="G81" s="237">
        <f t="shared" si="9"/>
        <v>2.4077499966666691</v>
      </c>
      <c r="H81" s="237">
        <f t="shared" si="10"/>
        <v>0</v>
      </c>
      <c r="I81" s="237">
        <f t="shared" si="11"/>
        <v>0</v>
      </c>
      <c r="J81" s="298">
        <f>J82</f>
        <v>0.90774999666666933</v>
      </c>
      <c r="K81" s="298">
        <f t="shared" ref="K81:AC82" si="94">K82</f>
        <v>0</v>
      </c>
      <c r="L81" s="298">
        <f t="shared" si="94"/>
        <v>0.90774999666666933</v>
      </c>
      <c r="M81" s="298">
        <f t="shared" si="94"/>
        <v>0</v>
      </c>
      <c r="N81" s="298">
        <f t="shared" si="94"/>
        <v>0</v>
      </c>
      <c r="O81" s="283">
        <f t="shared" si="94"/>
        <v>1.5</v>
      </c>
      <c r="P81" s="283">
        <f t="shared" si="94"/>
        <v>0</v>
      </c>
      <c r="Q81" s="283">
        <f t="shared" si="94"/>
        <v>1.5</v>
      </c>
      <c r="R81" s="283">
        <f t="shared" si="94"/>
        <v>0</v>
      </c>
      <c r="S81" s="283">
        <f t="shared" si="94"/>
        <v>0</v>
      </c>
      <c r="T81" s="242">
        <f t="shared" si="94"/>
        <v>0</v>
      </c>
      <c r="U81" s="242">
        <f t="shared" si="94"/>
        <v>0</v>
      </c>
      <c r="V81" s="242">
        <f t="shared" si="94"/>
        <v>0</v>
      </c>
      <c r="W81" s="242">
        <f t="shared" si="94"/>
        <v>0</v>
      </c>
      <c r="X81" s="242">
        <f t="shared" si="94"/>
        <v>0</v>
      </c>
      <c r="Y81" s="242">
        <f t="shared" si="94"/>
        <v>0</v>
      </c>
      <c r="Z81" s="242">
        <f t="shared" si="94"/>
        <v>0</v>
      </c>
      <c r="AA81" s="242">
        <f t="shared" si="94"/>
        <v>0</v>
      </c>
      <c r="AB81" s="242">
        <f t="shared" si="94"/>
        <v>0</v>
      </c>
      <c r="AC81" s="242">
        <f t="shared" si="94"/>
        <v>0</v>
      </c>
      <c r="AD81" s="242">
        <f>AD82</f>
        <v>4.8126333433333421</v>
      </c>
      <c r="AE81" s="237">
        <f t="shared" si="13"/>
        <v>6.2214066599999995</v>
      </c>
      <c r="AF81" s="237">
        <f t="shared" si="14"/>
        <v>0</v>
      </c>
      <c r="AG81" s="237">
        <f t="shared" si="15"/>
        <v>6.2214066599999995</v>
      </c>
      <c r="AH81" s="237">
        <f t="shared" si="16"/>
        <v>0</v>
      </c>
      <c r="AI81" s="237">
        <f t="shared" si="17"/>
        <v>0</v>
      </c>
      <c r="AJ81" s="298">
        <f t="shared" ref="AJ81:BC82" si="95">AJ82</f>
        <v>0.77156924999999998</v>
      </c>
      <c r="AK81" s="298">
        <f t="shared" si="95"/>
        <v>0</v>
      </c>
      <c r="AL81" s="298">
        <f t="shared" si="95"/>
        <v>0.77156924999999998</v>
      </c>
      <c r="AM81" s="298">
        <f t="shared" si="95"/>
        <v>0</v>
      </c>
      <c r="AN81" s="298">
        <f t="shared" si="95"/>
        <v>0</v>
      </c>
      <c r="AO81" s="242">
        <f t="shared" si="95"/>
        <v>1.9186087199999999</v>
      </c>
      <c r="AP81" s="242">
        <f t="shared" si="95"/>
        <v>0</v>
      </c>
      <c r="AQ81" s="242">
        <f t="shared" si="95"/>
        <v>1.9186087199999999</v>
      </c>
      <c r="AR81" s="242">
        <f t="shared" si="95"/>
        <v>0</v>
      </c>
      <c r="AS81" s="242">
        <f t="shared" si="95"/>
        <v>0</v>
      </c>
      <c r="AT81" s="283">
        <f t="shared" si="95"/>
        <v>2.2862591400000003</v>
      </c>
      <c r="AU81" s="283">
        <f t="shared" si="95"/>
        <v>0</v>
      </c>
      <c r="AV81" s="283">
        <f t="shared" si="95"/>
        <v>2.2862591400000003</v>
      </c>
      <c r="AW81" s="283">
        <f t="shared" si="95"/>
        <v>0</v>
      </c>
      <c r="AX81" s="283">
        <f t="shared" si="95"/>
        <v>0</v>
      </c>
      <c r="AY81" s="242">
        <f t="shared" si="95"/>
        <v>1.24496955</v>
      </c>
      <c r="AZ81" s="242">
        <f t="shared" si="95"/>
        <v>0</v>
      </c>
      <c r="BA81" s="242">
        <f t="shared" si="95"/>
        <v>1.24496955</v>
      </c>
      <c r="BB81" s="242">
        <f t="shared" si="95"/>
        <v>0</v>
      </c>
      <c r="BC81" s="242">
        <f t="shared" si="95"/>
        <v>0</v>
      </c>
    </row>
    <row r="82" spans="1:96" x14ac:dyDescent="0.2">
      <c r="A82" s="262" t="s">
        <v>153</v>
      </c>
      <c r="B82" s="267" t="s">
        <v>924</v>
      </c>
      <c r="C82" s="267" t="s">
        <v>890</v>
      </c>
      <c r="D82" s="242">
        <f>D83</f>
        <v>5.7751600120000086</v>
      </c>
      <c r="E82" s="237">
        <f t="shared" si="7"/>
        <v>2.4077499966666691</v>
      </c>
      <c r="F82" s="237">
        <f t="shared" si="8"/>
        <v>0</v>
      </c>
      <c r="G82" s="237">
        <f t="shared" si="9"/>
        <v>2.4077499966666691</v>
      </c>
      <c r="H82" s="237">
        <f t="shared" si="10"/>
        <v>0</v>
      </c>
      <c r="I82" s="237">
        <f t="shared" si="11"/>
        <v>0</v>
      </c>
      <c r="J82" s="298">
        <f>J83</f>
        <v>0.90774999666666933</v>
      </c>
      <c r="K82" s="298">
        <f t="shared" si="94"/>
        <v>0</v>
      </c>
      <c r="L82" s="298">
        <f t="shared" si="94"/>
        <v>0.90774999666666933</v>
      </c>
      <c r="M82" s="298">
        <f t="shared" si="94"/>
        <v>0</v>
      </c>
      <c r="N82" s="298">
        <f t="shared" si="94"/>
        <v>0</v>
      </c>
      <c r="O82" s="283">
        <f t="shared" si="94"/>
        <v>1.5</v>
      </c>
      <c r="P82" s="283">
        <f t="shared" si="94"/>
        <v>0</v>
      </c>
      <c r="Q82" s="283">
        <f t="shared" si="94"/>
        <v>1.5</v>
      </c>
      <c r="R82" s="283">
        <f t="shared" si="94"/>
        <v>0</v>
      </c>
      <c r="S82" s="283">
        <f t="shared" si="94"/>
        <v>0</v>
      </c>
      <c r="T82" s="242">
        <f t="shared" si="94"/>
        <v>0</v>
      </c>
      <c r="U82" s="242">
        <f t="shared" si="94"/>
        <v>0</v>
      </c>
      <c r="V82" s="242">
        <f t="shared" si="94"/>
        <v>0</v>
      </c>
      <c r="W82" s="242">
        <f t="shared" si="94"/>
        <v>0</v>
      </c>
      <c r="X82" s="242">
        <f t="shared" si="94"/>
        <v>0</v>
      </c>
      <c r="Y82" s="242">
        <f t="shared" si="94"/>
        <v>0</v>
      </c>
      <c r="Z82" s="242">
        <f t="shared" si="94"/>
        <v>0</v>
      </c>
      <c r="AA82" s="242">
        <f t="shared" si="94"/>
        <v>0</v>
      </c>
      <c r="AB82" s="242">
        <f t="shared" si="94"/>
        <v>0</v>
      </c>
      <c r="AC82" s="242">
        <f t="shared" si="94"/>
        <v>0</v>
      </c>
      <c r="AD82" s="242">
        <f>AD83</f>
        <v>4.8126333433333421</v>
      </c>
      <c r="AE82" s="237">
        <f t="shared" si="13"/>
        <v>6.2214066599999995</v>
      </c>
      <c r="AF82" s="237">
        <f t="shared" si="14"/>
        <v>0</v>
      </c>
      <c r="AG82" s="237">
        <f t="shared" si="15"/>
        <v>6.2214066599999995</v>
      </c>
      <c r="AH82" s="237">
        <f t="shared" si="16"/>
        <v>0</v>
      </c>
      <c r="AI82" s="237">
        <f t="shared" si="17"/>
        <v>0</v>
      </c>
      <c r="AJ82" s="298">
        <f t="shared" si="95"/>
        <v>0.77156924999999998</v>
      </c>
      <c r="AK82" s="298">
        <f t="shared" si="95"/>
        <v>0</v>
      </c>
      <c r="AL82" s="298">
        <f t="shared" si="95"/>
        <v>0.77156924999999998</v>
      </c>
      <c r="AM82" s="298">
        <f t="shared" si="95"/>
        <v>0</v>
      </c>
      <c r="AN82" s="298">
        <f t="shared" si="95"/>
        <v>0</v>
      </c>
      <c r="AO82" s="242">
        <f t="shared" si="95"/>
        <v>1.9186087199999999</v>
      </c>
      <c r="AP82" s="242">
        <f t="shared" si="95"/>
        <v>0</v>
      </c>
      <c r="AQ82" s="242">
        <f t="shared" si="95"/>
        <v>1.9186087199999999</v>
      </c>
      <c r="AR82" s="242">
        <f t="shared" si="95"/>
        <v>0</v>
      </c>
      <c r="AS82" s="242">
        <f t="shared" si="95"/>
        <v>0</v>
      </c>
      <c r="AT82" s="283">
        <f t="shared" si="95"/>
        <v>2.2862591400000003</v>
      </c>
      <c r="AU82" s="283">
        <f t="shared" si="95"/>
        <v>0</v>
      </c>
      <c r="AV82" s="283">
        <f t="shared" si="95"/>
        <v>2.2862591400000003</v>
      </c>
      <c r="AW82" s="283">
        <f t="shared" si="95"/>
        <v>0</v>
      </c>
      <c r="AX82" s="283">
        <f t="shared" si="95"/>
        <v>0</v>
      </c>
      <c r="AY82" s="242">
        <f t="shared" si="95"/>
        <v>1.24496955</v>
      </c>
      <c r="AZ82" s="242">
        <f t="shared" si="95"/>
        <v>0</v>
      </c>
      <c r="BA82" s="242">
        <f t="shared" si="95"/>
        <v>1.24496955</v>
      </c>
      <c r="BB82" s="242">
        <f t="shared" si="95"/>
        <v>0</v>
      </c>
      <c r="BC82" s="242">
        <f t="shared" si="95"/>
        <v>0</v>
      </c>
      <c r="BD82" s="255"/>
      <c r="BE82" s="255"/>
    </row>
    <row r="83" spans="1:96" x14ac:dyDescent="0.2">
      <c r="A83" s="263" t="s">
        <v>781</v>
      </c>
      <c r="B83" s="294" t="s">
        <v>1005</v>
      </c>
      <c r="C83" s="268" t="s">
        <v>1054</v>
      </c>
      <c r="D83" s="276">
        <v>5.7751600120000086</v>
      </c>
      <c r="E83" s="237">
        <f t="shared" si="7"/>
        <v>2.4077499966666691</v>
      </c>
      <c r="F83" s="237">
        <f t="shared" si="8"/>
        <v>0</v>
      </c>
      <c r="G83" s="237">
        <f t="shared" si="9"/>
        <v>2.4077499966666691</v>
      </c>
      <c r="H83" s="237">
        <f t="shared" si="10"/>
        <v>0</v>
      </c>
      <c r="I83" s="237">
        <f t="shared" si="11"/>
        <v>0</v>
      </c>
      <c r="J83" s="308">
        <f>K83+L83+M83+N83</f>
        <v>0.90774999666666933</v>
      </c>
      <c r="K83" s="308">
        <v>0</v>
      </c>
      <c r="L83" s="308">
        <v>0.90774999666666933</v>
      </c>
      <c r="M83" s="308">
        <v>0</v>
      </c>
      <c r="N83" s="308">
        <v>0</v>
      </c>
      <c r="O83" s="293">
        <f t="shared" ref="O83" si="96">P83+Q83+R83+S83</f>
        <v>1.5</v>
      </c>
      <c r="P83" s="293">
        <v>0</v>
      </c>
      <c r="Q83" s="293">
        <v>1.5</v>
      </c>
      <c r="R83" s="293">
        <v>0</v>
      </c>
      <c r="S83" s="293">
        <v>0</v>
      </c>
      <c r="T83" s="276">
        <v>0</v>
      </c>
      <c r="U83" s="276">
        <v>0</v>
      </c>
      <c r="V83" s="276">
        <v>0</v>
      </c>
      <c r="W83" s="276">
        <v>0</v>
      </c>
      <c r="X83" s="276">
        <v>0</v>
      </c>
      <c r="Y83" s="276">
        <v>0</v>
      </c>
      <c r="Z83" s="276">
        <v>0</v>
      </c>
      <c r="AA83" s="276">
        <v>0</v>
      </c>
      <c r="AB83" s="276">
        <v>0</v>
      </c>
      <c r="AC83" s="276">
        <v>0</v>
      </c>
      <c r="AD83" s="276">
        <f>5.77516001200001/1.2</f>
        <v>4.8126333433333421</v>
      </c>
      <c r="AE83" s="237">
        <f t="shared" si="13"/>
        <v>6.2214066599999995</v>
      </c>
      <c r="AF83" s="237">
        <f t="shared" si="14"/>
        <v>0</v>
      </c>
      <c r="AG83" s="237">
        <f t="shared" si="15"/>
        <v>6.2214066599999995</v>
      </c>
      <c r="AH83" s="237">
        <f t="shared" si="16"/>
        <v>0</v>
      </c>
      <c r="AI83" s="237">
        <f t="shared" si="17"/>
        <v>0</v>
      </c>
      <c r="AJ83" s="308">
        <f>AK83+AL83+AM83+AN83</f>
        <v>0.77156924999999998</v>
      </c>
      <c r="AK83" s="308">
        <v>0</v>
      </c>
      <c r="AL83" s="308">
        <f>771569.25/1000000</f>
        <v>0.77156924999999998</v>
      </c>
      <c r="AM83" s="308">
        <v>0</v>
      </c>
      <c r="AN83" s="308">
        <v>0</v>
      </c>
      <c r="AO83" s="309">
        <f>AP83+AQ83+AR83+AS83</f>
        <v>1.9186087199999999</v>
      </c>
      <c r="AP83" s="309">
        <v>0</v>
      </c>
      <c r="AQ83" s="309">
        <f>1918608.72/1000000</f>
        <v>1.9186087199999999</v>
      </c>
      <c r="AR83" s="309">
        <v>0</v>
      </c>
      <c r="AS83" s="309">
        <v>0</v>
      </c>
      <c r="AT83" s="293">
        <f>AU83+AV83+AW83+AX83</f>
        <v>2.2862591400000003</v>
      </c>
      <c r="AU83" s="293">
        <v>0</v>
      </c>
      <c r="AV83" s="293">
        <v>2.2862591400000003</v>
      </c>
      <c r="AW83" s="293">
        <v>0</v>
      </c>
      <c r="AX83" s="293">
        <v>0</v>
      </c>
      <c r="AY83" s="276">
        <f t="shared" ref="AY83" si="97">AZ83+BA83+BB83+BC83</f>
        <v>1.24496955</v>
      </c>
      <c r="AZ83" s="276">
        <v>0</v>
      </c>
      <c r="BA83" s="276">
        <v>1.24496955</v>
      </c>
      <c r="BB83" s="276">
        <v>0</v>
      </c>
      <c r="BC83" s="276">
        <v>0</v>
      </c>
      <c r="BD83" s="255"/>
      <c r="BE83" s="255"/>
    </row>
    <row r="84" spans="1:96" ht="17.25" customHeight="1" x14ac:dyDescent="0.2">
      <c r="A84" s="262" t="s">
        <v>925</v>
      </c>
      <c r="B84" s="267" t="s">
        <v>926</v>
      </c>
      <c r="C84" s="267" t="s">
        <v>890</v>
      </c>
      <c r="D84" s="243">
        <f>D85</f>
        <v>14.722600003999998</v>
      </c>
      <c r="E84" s="237">
        <f t="shared" si="7"/>
        <v>1.6599166666666667</v>
      </c>
      <c r="F84" s="237">
        <f t="shared" si="8"/>
        <v>0</v>
      </c>
      <c r="G84" s="237">
        <f t="shared" si="9"/>
        <v>0</v>
      </c>
      <c r="H84" s="237">
        <f t="shared" si="10"/>
        <v>1.6599166666666667</v>
      </c>
      <c r="I84" s="237">
        <f t="shared" si="11"/>
        <v>0</v>
      </c>
      <c r="J84" s="301">
        <f>J85</f>
        <v>0</v>
      </c>
      <c r="K84" s="301">
        <f t="shared" ref="K84:AC84" si="98">K85</f>
        <v>0</v>
      </c>
      <c r="L84" s="301">
        <f t="shared" si="98"/>
        <v>0</v>
      </c>
      <c r="M84" s="301">
        <f t="shared" si="98"/>
        <v>0</v>
      </c>
      <c r="N84" s="301">
        <f t="shared" si="98"/>
        <v>0</v>
      </c>
      <c r="O84" s="286">
        <f t="shared" si="98"/>
        <v>1.6599166666666667</v>
      </c>
      <c r="P84" s="286">
        <f t="shared" si="98"/>
        <v>0</v>
      </c>
      <c r="Q84" s="286">
        <f t="shared" si="98"/>
        <v>0</v>
      </c>
      <c r="R84" s="286">
        <f t="shared" si="98"/>
        <v>1.6599166666666667</v>
      </c>
      <c r="S84" s="286">
        <f t="shared" si="98"/>
        <v>0</v>
      </c>
      <c r="T84" s="243">
        <f t="shared" si="98"/>
        <v>0</v>
      </c>
      <c r="U84" s="243">
        <f t="shared" si="98"/>
        <v>0</v>
      </c>
      <c r="V84" s="243">
        <f t="shared" si="98"/>
        <v>0</v>
      </c>
      <c r="W84" s="243">
        <f t="shared" si="98"/>
        <v>0</v>
      </c>
      <c r="X84" s="243">
        <f t="shared" si="98"/>
        <v>0</v>
      </c>
      <c r="Y84" s="243">
        <f t="shared" si="98"/>
        <v>0</v>
      </c>
      <c r="Z84" s="243">
        <f t="shared" si="98"/>
        <v>0</v>
      </c>
      <c r="AA84" s="243">
        <f t="shared" si="98"/>
        <v>0</v>
      </c>
      <c r="AB84" s="243">
        <f t="shared" si="98"/>
        <v>0</v>
      </c>
      <c r="AC84" s="243">
        <f t="shared" si="98"/>
        <v>0</v>
      </c>
      <c r="AD84" s="243">
        <f>AD85</f>
        <v>12.268833336666667</v>
      </c>
      <c r="AE84" s="237">
        <f t="shared" si="13"/>
        <v>12.194992300000001</v>
      </c>
      <c r="AF84" s="237">
        <f t="shared" si="14"/>
        <v>0</v>
      </c>
      <c r="AG84" s="237">
        <f t="shared" si="15"/>
        <v>0</v>
      </c>
      <c r="AH84" s="237">
        <f t="shared" si="16"/>
        <v>12.194992300000001</v>
      </c>
      <c r="AI84" s="237">
        <f t="shared" si="17"/>
        <v>0</v>
      </c>
      <c r="AJ84" s="301">
        <f t="shared" ref="AJ84:BC84" si="99">AJ85</f>
        <v>0</v>
      </c>
      <c r="AK84" s="301">
        <f t="shared" si="99"/>
        <v>0</v>
      </c>
      <c r="AL84" s="301">
        <f t="shared" si="99"/>
        <v>0</v>
      </c>
      <c r="AM84" s="301">
        <f t="shared" si="99"/>
        <v>0</v>
      </c>
      <c r="AN84" s="301">
        <f t="shared" si="99"/>
        <v>0</v>
      </c>
      <c r="AO84" s="243">
        <f t="shared" si="99"/>
        <v>12.194992300000001</v>
      </c>
      <c r="AP84" s="243">
        <f t="shared" si="99"/>
        <v>0</v>
      </c>
      <c r="AQ84" s="243">
        <f t="shared" si="99"/>
        <v>0</v>
      </c>
      <c r="AR84" s="243">
        <f t="shared" si="99"/>
        <v>12.194992300000001</v>
      </c>
      <c r="AS84" s="243">
        <f t="shared" si="99"/>
        <v>0</v>
      </c>
      <c r="AT84" s="286">
        <f t="shared" si="99"/>
        <v>0</v>
      </c>
      <c r="AU84" s="286">
        <f t="shared" si="99"/>
        <v>0</v>
      </c>
      <c r="AV84" s="286">
        <f t="shared" si="99"/>
        <v>0</v>
      </c>
      <c r="AW84" s="286">
        <f t="shared" si="99"/>
        <v>0</v>
      </c>
      <c r="AX84" s="286">
        <f t="shared" si="99"/>
        <v>0</v>
      </c>
      <c r="AY84" s="243">
        <f t="shared" si="99"/>
        <v>0</v>
      </c>
      <c r="AZ84" s="243">
        <f t="shared" si="99"/>
        <v>0</v>
      </c>
      <c r="BA84" s="243">
        <f t="shared" si="99"/>
        <v>0</v>
      </c>
      <c r="BB84" s="243">
        <f t="shared" si="99"/>
        <v>0</v>
      </c>
      <c r="BC84" s="243">
        <f t="shared" si="99"/>
        <v>0</v>
      </c>
      <c r="BD84" s="255"/>
      <c r="BE84" s="255"/>
    </row>
    <row r="85" spans="1:96" ht="17.25" customHeight="1" x14ac:dyDescent="0.2">
      <c r="A85" s="262" t="s">
        <v>927</v>
      </c>
      <c r="B85" s="267" t="s">
        <v>928</v>
      </c>
      <c r="C85" s="267" t="s">
        <v>890</v>
      </c>
      <c r="D85" s="243">
        <f>D86+D87+D88+D89+D90</f>
        <v>14.722600003999998</v>
      </c>
      <c r="E85" s="237">
        <f t="shared" ref="E85:E90" si="100">J85+O85+T85+Y85</f>
        <v>1.6599166666666667</v>
      </c>
      <c r="F85" s="237">
        <f t="shared" ref="F85:F90" si="101">K85+P85+U85+Z85</f>
        <v>0</v>
      </c>
      <c r="G85" s="237">
        <f t="shared" ref="G85:G89" si="102">L85+Q85+V85+AA85</f>
        <v>0</v>
      </c>
      <c r="H85" s="237">
        <f t="shared" ref="H85:H89" si="103">M85+R85+W85+AB85</f>
        <v>1.6599166666666667</v>
      </c>
      <c r="I85" s="237">
        <f t="shared" ref="I85:I90" si="104">N85+S85+X85+AC85</f>
        <v>0</v>
      </c>
      <c r="J85" s="301">
        <f>J86+J87+J88+J89+J90</f>
        <v>0</v>
      </c>
      <c r="K85" s="301">
        <f t="shared" ref="K85:AC85" si="105">K86+K87+K88+K89+K90</f>
        <v>0</v>
      </c>
      <c r="L85" s="301">
        <f t="shared" si="105"/>
        <v>0</v>
      </c>
      <c r="M85" s="301">
        <f t="shared" si="105"/>
        <v>0</v>
      </c>
      <c r="N85" s="301">
        <f t="shared" si="105"/>
        <v>0</v>
      </c>
      <c r="O85" s="286">
        <f t="shared" si="105"/>
        <v>1.6599166666666667</v>
      </c>
      <c r="P85" s="286">
        <f t="shared" si="105"/>
        <v>0</v>
      </c>
      <c r="Q85" s="286">
        <f>Q86+Q87+Q88+Q89+Q90</f>
        <v>0</v>
      </c>
      <c r="R85" s="286">
        <f>R86+R87+R88+R89+R90</f>
        <v>1.6599166666666667</v>
      </c>
      <c r="S85" s="286">
        <f t="shared" si="105"/>
        <v>0</v>
      </c>
      <c r="T85" s="243">
        <f t="shared" si="105"/>
        <v>0</v>
      </c>
      <c r="U85" s="243">
        <f t="shared" si="105"/>
        <v>0</v>
      </c>
      <c r="V85" s="243">
        <f t="shared" si="105"/>
        <v>0</v>
      </c>
      <c r="W85" s="243">
        <f t="shared" si="105"/>
        <v>0</v>
      </c>
      <c r="X85" s="243">
        <f t="shared" si="105"/>
        <v>0</v>
      </c>
      <c r="Y85" s="243">
        <f t="shared" si="105"/>
        <v>0</v>
      </c>
      <c r="Z85" s="243">
        <f t="shared" si="105"/>
        <v>0</v>
      </c>
      <c r="AA85" s="243">
        <f t="shared" si="105"/>
        <v>0</v>
      </c>
      <c r="AB85" s="243">
        <f t="shared" si="105"/>
        <v>0</v>
      </c>
      <c r="AC85" s="243">
        <f t="shared" si="105"/>
        <v>0</v>
      </c>
      <c r="AD85" s="243">
        <f>AD86+AD87+AD88+AD89+AD90</f>
        <v>12.268833336666667</v>
      </c>
      <c r="AE85" s="237">
        <f t="shared" ref="AE85:AE89" si="106">AJ85+AO85+AT85+AY85</f>
        <v>12.194992300000001</v>
      </c>
      <c r="AF85" s="237">
        <f t="shared" ref="AF85:AF90" si="107">AK85+AP85+AU85+AZ85</f>
        <v>0</v>
      </c>
      <c r="AG85" s="237">
        <f t="shared" ref="AG85:AG90" si="108">AL85+AQ85+AV85+BA85</f>
        <v>0</v>
      </c>
      <c r="AH85" s="237">
        <f t="shared" ref="AH85:AH90" si="109">AM85+AR85+AW85+BB85</f>
        <v>12.194992300000001</v>
      </c>
      <c r="AI85" s="237">
        <f t="shared" ref="AI85:AI90" si="110">AN85+AS85+AX85+BC85</f>
        <v>0</v>
      </c>
      <c r="AJ85" s="301">
        <f t="shared" ref="AJ85:BC85" si="111">AJ86+AJ87+AJ88+AJ89+AJ90</f>
        <v>0</v>
      </c>
      <c r="AK85" s="301">
        <f t="shared" si="111"/>
        <v>0</v>
      </c>
      <c r="AL85" s="301">
        <f t="shared" si="111"/>
        <v>0</v>
      </c>
      <c r="AM85" s="301">
        <f t="shared" si="111"/>
        <v>0</v>
      </c>
      <c r="AN85" s="301">
        <f t="shared" si="111"/>
        <v>0</v>
      </c>
      <c r="AO85" s="243">
        <f t="shared" si="111"/>
        <v>12.194992300000001</v>
      </c>
      <c r="AP85" s="243">
        <f t="shared" si="111"/>
        <v>0</v>
      </c>
      <c r="AQ85" s="243">
        <f t="shared" si="111"/>
        <v>0</v>
      </c>
      <c r="AR85" s="243">
        <f t="shared" si="111"/>
        <v>12.194992300000001</v>
      </c>
      <c r="AS85" s="243">
        <f t="shared" si="111"/>
        <v>0</v>
      </c>
      <c r="AT85" s="286">
        <f>AT86+AT87+AT88+AT89+AT90</f>
        <v>0</v>
      </c>
      <c r="AU85" s="286">
        <f t="shared" si="111"/>
        <v>0</v>
      </c>
      <c r="AV85" s="286">
        <f t="shared" si="111"/>
        <v>0</v>
      </c>
      <c r="AW85" s="286">
        <f t="shared" si="111"/>
        <v>0</v>
      </c>
      <c r="AX85" s="286">
        <f t="shared" si="111"/>
        <v>0</v>
      </c>
      <c r="AY85" s="243">
        <f t="shared" si="111"/>
        <v>0</v>
      </c>
      <c r="AZ85" s="243">
        <f t="shared" si="111"/>
        <v>0</v>
      </c>
      <c r="BA85" s="243">
        <f t="shared" si="111"/>
        <v>0</v>
      </c>
      <c r="BB85" s="243">
        <f t="shared" si="111"/>
        <v>0</v>
      </c>
      <c r="BC85" s="243">
        <f t="shared" si="111"/>
        <v>0</v>
      </c>
      <c r="BD85" s="255"/>
      <c r="BE85" s="255"/>
    </row>
    <row r="86" spans="1:96" x14ac:dyDescent="0.2">
      <c r="A86" s="263" t="s">
        <v>963</v>
      </c>
      <c r="B86" s="268" t="s">
        <v>1006</v>
      </c>
      <c r="C86" s="268" t="s">
        <v>1055</v>
      </c>
      <c r="D86" s="276">
        <v>7.3199999999999994</v>
      </c>
      <c r="E86" s="237">
        <f t="shared" si="100"/>
        <v>0</v>
      </c>
      <c r="F86" s="237">
        <f t="shared" si="101"/>
        <v>0</v>
      </c>
      <c r="G86" s="237">
        <f t="shared" si="102"/>
        <v>0</v>
      </c>
      <c r="H86" s="237">
        <f t="shared" si="103"/>
        <v>0</v>
      </c>
      <c r="I86" s="237">
        <f t="shared" si="104"/>
        <v>0</v>
      </c>
      <c r="J86" s="308">
        <f t="shared" ref="J86:J89" si="112">K86+L86+M86+N86</f>
        <v>0</v>
      </c>
      <c r="K86" s="308">
        <v>0</v>
      </c>
      <c r="L86" s="308">
        <v>0</v>
      </c>
      <c r="M86" s="308">
        <v>0</v>
      </c>
      <c r="N86" s="308">
        <v>0</v>
      </c>
      <c r="O86" s="293">
        <f t="shared" ref="O86:O89" si="113">P86+Q86+R86+S86</f>
        <v>0</v>
      </c>
      <c r="P86" s="293">
        <v>0</v>
      </c>
      <c r="Q86" s="293">
        <v>0</v>
      </c>
      <c r="R86" s="293">
        <v>0</v>
      </c>
      <c r="S86" s="293">
        <v>0</v>
      </c>
      <c r="T86" s="276">
        <v>0</v>
      </c>
      <c r="U86" s="276">
        <v>0</v>
      </c>
      <c r="V86" s="276">
        <v>0</v>
      </c>
      <c r="W86" s="276">
        <v>0</v>
      </c>
      <c r="X86" s="276">
        <v>0</v>
      </c>
      <c r="Y86" s="276">
        <v>0</v>
      </c>
      <c r="Z86" s="276">
        <v>0</v>
      </c>
      <c r="AA86" s="276">
        <v>0</v>
      </c>
      <c r="AB86" s="276">
        <v>0</v>
      </c>
      <c r="AC86" s="276">
        <v>0</v>
      </c>
      <c r="AD86" s="276">
        <f>7.32/1.2</f>
        <v>6.1000000000000005</v>
      </c>
      <c r="AE86" s="237">
        <f>AJ86+AO86+AT86+AY86</f>
        <v>6.1</v>
      </c>
      <c r="AF86" s="237">
        <f t="shared" si="107"/>
        <v>0</v>
      </c>
      <c r="AG86" s="237">
        <f t="shared" si="108"/>
        <v>0</v>
      </c>
      <c r="AH86" s="237">
        <f t="shared" si="109"/>
        <v>6.1</v>
      </c>
      <c r="AI86" s="237">
        <f t="shared" si="110"/>
        <v>0</v>
      </c>
      <c r="AJ86" s="308">
        <f t="shared" ref="AJ86:AJ89" si="114">AK86+AL86+AM86+AN86</f>
        <v>0</v>
      </c>
      <c r="AK86" s="308">
        <v>0</v>
      </c>
      <c r="AL86" s="308">
        <v>0</v>
      </c>
      <c r="AM86" s="308">
        <v>0</v>
      </c>
      <c r="AN86" s="308">
        <v>0</v>
      </c>
      <c r="AO86" s="309">
        <f t="shared" ref="AO86:AO89" si="115">AP86+AQ86+AR86+AS86</f>
        <v>6.1</v>
      </c>
      <c r="AP86" s="309">
        <v>0</v>
      </c>
      <c r="AQ86" s="309">
        <v>0</v>
      </c>
      <c r="AR86" s="309">
        <f>6100000/1000000</f>
        <v>6.1</v>
      </c>
      <c r="AS86" s="309">
        <v>0</v>
      </c>
      <c r="AT86" s="293">
        <f t="shared" ref="AT86:AT89" si="116">AU86+AV86+AW86+AX86</f>
        <v>0</v>
      </c>
      <c r="AU86" s="293">
        <v>0</v>
      </c>
      <c r="AV86" s="293">
        <v>0</v>
      </c>
      <c r="AW86" s="293">
        <v>0</v>
      </c>
      <c r="AX86" s="293">
        <v>0</v>
      </c>
      <c r="AY86" s="276">
        <f t="shared" ref="AY86:AY90" si="117">AZ86+BA86+BB86+BC86</f>
        <v>0</v>
      </c>
      <c r="AZ86" s="276">
        <v>0</v>
      </c>
      <c r="BA86" s="276">
        <v>0</v>
      </c>
      <c r="BB86" s="276">
        <v>0</v>
      </c>
      <c r="BC86" s="276">
        <v>0</v>
      </c>
      <c r="BD86" s="255"/>
      <c r="BE86" s="255"/>
    </row>
    <row r="87" spans="1:96" x14ac:dyDescent="0.2">
      <c r="A87" s="263" t="s">
        <v>964</v>
      </c>
      <c r="B87" s="268" t="s">
        <v>1007</v>
      </c>
      <c r="C87" s="268" t="s">
        <v>1056</v>
      </c>
      <c r="D87" s="276">
        <v>5.4107000039999997</v>
      </c>
      <c r="E87" s="237">
        <f t="shared" si="100"/>
        <v>0</v>
      </c>
      <c r="F87" s="237">
        <f t="shared" si="101"/>
        <v>0</v>
      </c>
      <c r="G87" s="237">
        <f t="shared" si="102"/>
        <v>0</v>
      </c>
      <c r="H87" s="237">
        <f t="shared" si="103"/>
        <v>0</v>
      </c>
      <c r="I87" s="237">
        <f t="shared" si="104"/>
        <v>0</v>
      </c>
      <c r="J87" s="308">
        <f t="shared" si="112"/>
        <v>0</v>
      </c>
      <c r="K87" s="308">
        <v>0</v>
      </c>
      <c r="L87" s="308">
        <v>0</v>
      </c>
      <c r="M87" s="308">
        <v>0</v>
      </c>
      <c r="N87" s="308">
        <v>0</v>
      </c>
      <c r="O87" s="293">
        <f t="shared" si="113"/>
        <v>0</v>
      </c>
      <c r="P87" s="293">
        <v>0</v>
      </c>
      <c r="Q87" s="293">
        <v>0</v>
      </c>
      <c r="R87" s="293">
        <v>0</v>
      </c>
      <c r="S87" s="293">
        <v>0</v>
      </c>
      <c r="T87" s="276">
        <v>0</v>
      </c>
      <c r="U87" s="276">
        <v>0</v>
      </c>
      <c r="V87" s="276">
        <v>0</v>
      </c>
      <c r="W87" s="276">
        <v>0</v>
      </c>
      <c r="X87" s="276">
        <v>0</v>
      </c>
      <c r="Y87" s="276">
        <v>0</v>
      </c>
      <c r="Z87" s="276">
        <v>0</v>
      </c>
      <c r="AA87" s="276">
        <v>0</v>
      </c>
      <c r="AB87" s="276">
        <v>0</v>
      </c>
      <c r="AC87" s="276">
        <v>0</v>
      </c>
      <c r="AD87" s="276">
        <f>5.410700004/1.2</f>
        <v>4.5089166699999996</v>
      </c>
      <c r="AE87" s="237">
        <f t="shared" si="106"/>
        <v>4.5089166699999996</v>
      </c>
      <c r="AF87" s="237">
        <f t="shared" si="107"/>
        <v>0</v>
      </c>
      <c r="AG87" s="237">
        <f t="shared" si="108"/>
        <v>0</v>
      </c>
      <c r="AH87" s="237">
        <f t="shared" si="109"/>
        <v>4.5089166699999996</v>
      </c>
      <c r="AI87" s="237">
        <f t="shared" si="110"/>
        <v>0</v>
      </c>
      <c r="AJ87" s="308">
        <f t="shared" si="114"/>
        <v>0</v>
      </c>
      <c r="AK87" s="308">
        <v>0</v>
      </c>
      <c r="AL87" s="308">
        <v>0</v>
      </c>
      <c r="AM87" s="308">
        <v>0</v>
      </c>
      <c r="AN87" s="308">
        <v>0</v>
      </c>
      <c r="AO87" s="309">
        <f t="shared" si="115"/>
        <v>4.5089166699999996</v>
      </c>
      <c r="AP87" s="309">
        <v>0</v>
      </c>
      <c r="AQ87" s="309">
        <v>0</v>
      </c>
      <c r="AR87" s="309">
        <f>4508916.67/1000000</f>
        <v>4.5089166699999996</v>
      </c>
      <c r="AS87" s="309">
        <v>0</v>
      </c>
      <c r="AT87" s="293">
        <f t="shared" si="116"/>
        <v>0</v>
      </c>
      <c r="AU87" s="293">
        <v>0</v>
      </c>
      <c r="AV87" s="293">
        <v>0</v>
      </c>
      <c r="AW87" s="293">
        <v>0</v>
      </c>
      <c r="AX87" s="293">
        <v>0</v>
      </c>
      <c r="AY87" s="276">
        <f t="shared" si="117"/>
        <v>0</v>
      </c>
      <c r="AZ87" s="276">
        <v>0</v>
      </c>
      <c r="BA87" s="276">
        <v>0</v>
      </c>
      <c r="BB87" s="276">
        <v>0</v>
      </c>
      <c r="BC87" s="276">
        <v>0</v>
      </c>
      <c r="BD87" s="255"/>
      <c r="BE87" s="255"/>
    </row>
    <row r="88" spans="1:96" ht="14.25" customHeight="1" x14ac:dyDescent="0.2">
      <c r="A88" s="263" t="s">
        <v>937</v>
      </c>
      <c r="B88" s="268" t="s">
        <v>1008</v>
      </c>
      <c r="C88" s="268" t="s">
        <v>1057</v>
      </c>
      <c r="D88" s="276">
        <v>0.7319</v>
      </c>
      <c r="E88" s="237">
        <f t="shared" si="100"/>
        <v>0.60991666666666666</v>
      </c>
      <c r="F88" s="237">
        <f t="shared" si="101"/>
        <v>0</v>
      </c>
      <c r="G88" s="237">
        <f t="shared" si="102"/>
        <v>0</v>
      </c>
      <c r="H88" s="237">
        <f t="shared" si="103"/>
        <v>0.60991666666666666</v>
      </c>
      <c r="I88" s="237">
        <f t="shared" si="104"/>
        <v>0</v>
      </c>
      <c r="J88" s="308">
        <f t="shared" si="112"/>
        <v>0</v>
      </c>
      <c r="K88" s="308">
        <v>0</v>
      </c>
      <c r="L88" s="308">
        <v>0</v>
      </c>
      <c r="M88" s="308">
        <v>0</v>
      </c>
      <c r="N88" s="308">
        <v>0</v>
      </c>
      <c r="O88" s="293">
        <f t="shared" si="113"/>
        <v>0.60991666666666666</v>
      </c>
      <c r="P88" s="293">
        <v>0</v>
      </c>
      <c r="Q88" s="293">
        <v>0</v>
      </c>
      <c r="R88" s="293">
        <v>0.60991666666666666</v>
      </c>
      <c r="S88" s="293">
        <v>0</v>
      </c>
      <c r="T88" s="276">
        <v>0</v>
      </c>
      <c r="U88" s="276">
        <v>0</v>
      </c>
      <c r="V88" s="276">
        <v>0</v>
      </c>
      <c r="W88" s="276">
        <v>0</v>
      </c>
      <c r="X88" s="276">
        <v>0</v>
      </c>
      <c r="Y88" s="276">
        <v>0</v>
      </c>
      <c r="Z88" s="276">
        <v>0</v>
      </c>
      <c r="AA88" s="276">
        <v>0</v>
      </c>
      <c r="AB88" s="276">
        <v>0</v>
      </c>
      <c r="AC88" s="276">
        <v>0</v>
      </c>
      <c r="AD88" s="276">
        <f>0.7319/1.2</f>
        <v>0.60991666666666666</v>
      </c>
      <c r="AE88" s="237">
        <f t="shared" si="106"/>
        <v>0.61324999999999996</v>
      </c>
      <c r="AF88" s="237">
        <f t="shared" si="107"/>
        <v>0</v>
      </c>
      <c r="AG88" s="237">
        <f t="shared" si="108"/>
        <v>0</v>
      </c>
      <c r="AH88" s="237">
        <f t="shared" si="109"/>
        <v>0.61324999999999996</v>
      </c>
      <c r="AI88" s="237">
        <f t="shared" si="110"/>
        <v>0</v>
      </c>
      <c r="AJ88" s="308">
        <f t="shared" si="114"/>
        <v>0</v>
      </c>
      <c r="AK88" s="308">
        <v>0</v>
      </c>
      <c r="AL88" s="308">
        <v>0</v>
      </c>
      <c r="AM88" s="308">
        <v>0</v>
      </c>
      <c r="AN88" s="308">
        <v>0</v>
      </c>
      <c r="AO88" s="309">
        <f t="shared" si="115"/>
        <v>0.61324999999999996</v>
      </c>
      <c r="AP88" s="309">
        <v>0</v>
      </c>
      <c r="AQ88" s="309">
        <v>0</v>
      </c>
      <c r="AR88" s="309">
        <f>613250/1000000</f>
        <v>0.61324999999999996</v>
      </c>
      <c r="AS88" s="309">
        <v>0</v>
      </c>
      <c r="AT88" s="293">
        <f t="shared" si="116"/>
        <v>0</v>
      </c>
      <c r="AU88" s="293">
        <v>0</v>
      </c>
      <c r="AV88" s="293">
        <v>0</v>
      </c>
      <c r="AW88" s="293">
        <v>0</v>
      </c>
      <c r="AX88" s="293">
        <v>0</v>
      </c>
      <c r="AY88" s="276">
        <f t="shared" si="117"/>
        <v>0</v>
      </c>
      <c r="AZ88" s="276">
        <v>0</v>
      </c>
      <c r="BA88" s="276">
        <v>0</v>
      </c>
      <c r="BB88" s="276">
        <v>0</v>
      </c>
      <c r="BC88" s="276">
        <v>0</v>
      </c>
      <c r="BD88" s="255"/>
      <c r="BE88" s="255"/>
      <c r="BF88" s="222"/>
      <c r="BG88" s="222"/>
      <c r="BH88" s="222"/>
      <c r="BI88" s="222"/>
      <c r="BJ88" s="222"/>
      <c r="BK88" s="222"/>
      <c r="BL88" s="222"/>
      <c r="BM88" s="222"/>
      <c r="BN88" s="222"/>
      <c r="BO88" s="222"/>
      <c r="BP88" s="222"/>
      <c r="BQ88" s="222"/>
      <c r="BR88" s="222"/>
      <c r="BS88" s="222"/>
      <c r="BT88" s="222"/>
      <c r="BU88" s="222"/>
      <c r="BV88" s="222"/>
      <c r="BW88" s="222"/>
      <c r="BX88" s="222"/>
      <c r="BY88" s="222"/>
      <c r="BZ88" s="222"/>
      <c r="CA88" s="222"/>
      <c r="CB88" s="222"/>
      <c r="CC88" s="222"/>
      <c r="CD88" s="222"/>
      <c r="CE88" s="222"/>
      <c r="CF88" s="222"/>
      <c r="CG88" s="222"/>
      <c r="CH88" s="222"/>
      <c r="CI88" s="222"/>
      <c r="CJ88" s="222"/>
      <c r="CK88" s="222"/>
      <c r="CL88" s="222"/>
      <c r="CM88" s="222"/>
      <c r="CN88" s="222"/>
      <c r="CO88" s="222"/>
      <c r="CP88" s="222"/>
      <c r="CQ88" s="222"/>
      <c r="CR88" s="222"/>
    </row>
    <row r="89" spans="1:96" x14ac:dyDescent="0.2">
      <c r="A89" s="263" t="s">
        <v>965</v>
      </c>
      <c r="B89" s="268" t="s">
        <v>1009</v>
      </c>
      <c r="C89" s="268" t="s">
        <v>1058</v>
      </c>
      <c r="D89" s="276">
        <v>0.66</v>
      </c>
      <c r="E89" s="237">
        <f t="shared" si="100"/>
        <v>0.55000000000000004</v>
      </c>
      <c r="F89" s="237">
        <f t="shared" si="101"/>
        <v>0</v>
      </c>
      <c r="G89" s="237">
        <f t="shared" si="102"/>
        <v>0</v>
      </c>
      <c r="H89" s="237">
        <f t="shared" si="103"/>
        <v>0.55000000000000004</v>
      </c>
      <c r="I89" s="237">
        <f t="shared" si="104"/>
        <v>0</v>
      </c>
      <c r="J89" s="308">
        <f t="shared" si="112"/>
        <v>0</v>
      </c>
      <c r="K89" s="308">
        <v>0</v>
      </c>
      <c r="L89" s="308">
        <v>0</v>
      </c>
      <c r="M89" s="308">
        <v>0</v>
      </c>
      <c r="N89" s="308">
        <v>0</v>
      </c>
      <c r="O89" s="293">
        <f t="shared" si="113"/>
        <v>0.55000000000000004</v>
      </c>
      <c r="P89" s="293">
        <v>0</v>
      </c>
      <c r="Q89" s="293">
        <v>0</v>
      </c>
      <c r="R89" s="293">
        <v>0.55000000000000004</v>
      </c>
      <c r="S89" s="293">
        <v>0</v>
      </c>
      <c r="T89" s="276">
        <v>0</v>
      </c>
      <c r="U89" s="276">
        <v>0</v>
      </c>
      <c r="V89" s="276">
        <v>0</v>
      </c>
      <c r="W89" s="276">
        <v>0</v>
      </c>
      <c r="X89" s="276">
        <v>0</v>
      </c>
      <c r="Y89" s="276">
        <v>0</v>
      </c>
      <c r="Z89" s="276">
        <v>0</v>
      </c>
      <c r="AA89" s="276">
        <v>0</v>
      </c>
      <c r="AB89" s="276">
        <v>0</v>
      </c>
      <c r="AC89" s="276">
        <v>0</v>
      </c>
      <c r="AD89" s="276">
        <f>0.66/1.2</f>
        <v>0.55000000000000004</v>
      </c>
      <c r="AE89" s="237">
        <f t="shared" si="106"/>
        <v>0.45366666999999999</v>
      </c>
      <c r="AF89" s="237">
        <f t="shared" si="107"/>
        <v>0</v>
      </c>
      <c r="AG89" s="237">
        <f t="shared" si="108"/>
        <v>0</v>
      </c>
      <c r="AH89" s="237">
        <f t="shared" si="109"/>
        <v>0.45366666999999999</v>
      </c>
      <c r="AI89" s="237">
        <f t="shared" si="110"/>
        <v>0</v>
      </c>
      <c r="AJ89" s="308">
        <f t="shared" si="114"/>
        <v>0</v>
      </c>
      <c r="AK89" s="308">
        <v>0</v>
      </c>
      <c r="AL89" s="308">
        <v>0</v>
      </c>
      <c r="AM89" s="308">
        <v>0</v>
      </c>
      <c r="AN89" s="308">
        <v>0</v>
      </c>
      <c r="AO89" s="309">
        <f t="shared" si="115"/>
        <v>0.45366666999999999</v>
      </c>
      <c r="AP89" s="309">
        <v>0</v>
      </c>
      <c r="AQ89" s="309">
        <v>0</v>
      </c>
      <c r="AR89" s="309">
        <f>453666.67/1000000</f>
        <v>0.45366666999999999</v>
      </c>
      <c r="AS89" s="309">
        <v>0</v>
      </c>
      <c r="AT89" s="293">
        <f t="shared" si="116"/>
        <v>0</v>
      </c>
      <c r="AU89" s="293">
        <v>0</v>
      </c>
      <c r="AV89" s="293">
        <v>0</v>
      </c>
      <c r="AW89" s="293">
        <v>0</v>
      </c>
      <c r="AX89" s="293">
        <v>0</v>
      </c>
      <c r="AY89" s="276">
        <f t="shared" si="117"/>
        <v>0</v>
      </c>
      <c r="AZ89" s="276">
        <v>0</v>
      </c>
      <c r="BA89" s="276">
        <v>0</v>
      </c>
      <c r="BB89" s="276">
        <v>0</v>
      </c>
      <c r="BC89" s="276">
        <v>0</v>
      </c>
      <c r="BD89" s="255"/>
      <c r="BE89" s="255"/>
      <c r="BF89" s="222"/>
      <c r="BG89" s="222"/>
      <c r="BH89" s="222"/>
      <c r="BI89" s="222"/>
      <c r="BJ89" s="222"/>
      <c r="BK89" s="222"/>
      <c r="BL89" s="222"/>
      <c r="BM89" s="222"/>
      <c r="BN89" s="222"/>
      <c r="BO89" s="222"/>
      <c r="BP89" s="222"/>
      <c r="BQ89" s="222"/>
      <c r="BR89" s="222"/>
      <c r="BS89" s="222"/>
      <c r="BT89" s="222"/>
      <c r="BU89" s="222"/>
      <c r="BV89" s="222"/>
      <c r="BW89" s="222"/>
      <c r="BX89" s="222"/>
      <c r="BY89" s="222"/>
      <c r="BZ89" s="222"/>
      <c r="CA89" s="222"/>
      <c r="CB89" s="222"/>
      <c r="CC89" s="222"/>
      <c r="CD89" s="222"/>
      <c r="CE89" s="222"/>
      <c r="CF89" s="222"/>
      <c r="CG89" s="222"/>
      <c r="CH89" s="222"/>
      <c r="CI89" s="222"/>
      <c r="CJ89" s="222"/>
      <c r="CK89" s="222"/>
      <c r="CL89" s="222"/>
      <c r="CM89" s="222"/>
      <c r="CN89" s="222"/>
      <c r="CO89" s="222"/>
      <c r="CP89" s="222"/>
      <c r="CQ89" s="222"/>
      <c r="CR89" s="222"/>
    </row>
    <row r="90" spans="1:96" x14ac:dyDescent="0.2">
      <c r="A90" s="263" t="s">
        <v>966</v>
      </c>
      <c r="B90" s="263" t="s">
        <v>1010</v>
      </c>
      <c r="C90" s="268" t="s">
        <v>1059</v>
      </c>
      <c r="D90" s="276">
        <v>0.6</v>
      </c>
      <c r="E90" s="237">
        <f t="shared" si="100"/>
        <v>0.5</v>
      </c>
      <c r="F90" s="237">
        <f t="shared" si="101"/>
        <v>0</v>
      </c>
      <c r="G90" s="237">
        <f>L90+Q90+V90+AA90</f>
        <v>0</v>
      </c>
      <c r="H90" s="237">
        <f>M90+R90+W90+AB90</f>
        <v>0.5</v>
      </c>
      <c r="I90" s="237">
        <f t="shared" si="104"/>
        <v>0</v>
      </c>
      <c r="J90" s="308">
        <f>K90+L90+M90+N90</f>
        <v>0</v>
      </c>
      <c r="K90" s="308">
        <v>0</v>
      </c>
      <c r="L90" s="308">
        <v>0</v>
      </c>
      <c r="M90" s="308">
        <v>0</v>
      </c>
      <c r="N90" s="308">
        <v>0</v>
      </c>
      <c r="O90" s="293">
        <f>P90+Q90+R90+S90</f>
        <v>0.5</v>
      </c>
      <c r="P90" s="293">
        <v>0</v>
      </c>
      <c r="Q90" s="293">
        <v>0</v>
      </c>
      <c r="R90" s="293">
        <v>0.5</v>
      </c>
      <c r="S90" s="293">
        <v>0</v>
      </c>
      <c r="T90" s="276">
        <v>0</v>
      </c>
      <c r="U90" s="276">
        <v>0</v>
      </c>
      <c r="V90" s="276">
        <v>0</v>
      </c>
      <c r="W90" s="276">
        <v>0</v>
      </c>
      <c r="X90" s="276">
        <v>0</v>
      </c>
      <c r="Y90" s="276">
        <v>0</v>
      </c>
      <c r="Z90" s="276">
        <v>0</v>
      </c>
      <c r="AA90" s="276">
        <v>0</v>
      </c>
      <c r="AB90" s="276">
        <v>0</v>
      </c>
      <c r="AC90" s="276">
        <v>0</v>
      </c>
      <c r="AD90" s="276">
        <f>0.6/1.2</f>
        <v>0.5</v>
      </c>
      <c r="AE90" s="237">
        <f>AJ90+AO90+AT90+AY90</f>
        <v>0.51915895999999995</v>
      </c>
      <c r="AF90" s="237">
        <f t="shared" si="107"/>
        <v>0</v>
      </c>
      <c r="AG90" s="237">
        <f t="shared" si="108"/>
        <v>0</v>
      </c>
      <c r="AH90" s="237">
        <f t="shared" si="109"/>
        <v>0.51915895999999995</v>
      </c>
      <c r="AI90" s="237">
        <f t="shared" si="110"/>
        <v>0</v>
      </c>
      <c r="AJ90" s="308">
        <f>AK90+AL90+AM90+AN90</f>
        <v>0</v>
      </c>
      <c r="AK90" s="308">
        <v>0</v>
      </c>
      <c r="AL90" s="308">
        <v>0</v>
      </c>
      <c r="AM90" s="308">
        <v>0</v>
      </c>
      <c r="AN90" s="308">
        <v>0</v>
      </c>
      <c r="AO90" s="309">
        <f>AP90+AQ90+AR90+AS90</f>
        <v>0.51915895999999995</v>
      </c>
      <c r="AP90" s="309">
        <v>0</v>
      </c>
      <c r="AQ90" s="309">
        <v>0</v>
      </c>
      <c r="AR90" s="309">
        <v>0.51915895999999995</v>
      </c>
      <c r="AS90" s="309">
        <v>0</v>
      </c>
      <c r="AT90" s="293">
        <f>AU90+AV90+AW90+AX90</f>
        <v>0</v>
      </c>
      <c r="AU90" s="293">
        <v>0</v>
      </c>
      <c r="AV90" s="293">
        <v>0</v>
      </c>
      <c r="AW90" s="293">
        <v>0</v>
      </c>
      <c r="AX90" s="293">
        <v>0</v>
      </c>
      <c r="AY90" s="276">
        <f t="shared" si="117"/>
        <v>0</v>
      </c>
      <c r="AZ90" s="276">
        <v>0</v>
      </c>
      <c r="BA90" s="276">
        <v>0</v>
      </c>
      <c r="BB90" s="276">
        <v>0</v>
      </c>
      <c r="BC90" s="276">
        <v>0</v>
      </c>
      <c r="BD90" s="255"/>
      <c r="BE90" s="255"/>
      <c r="BF90" s="222"/>
      <c r="BG90" s="222"/>
      <c r="BH90" s="222"/>
      <c r="BI90" s="222"/>
      <c r="BJ90" s="222"/>
      <c r="BK90" s="222"/>
      <c r="BL90" s="222"/>
      <c r="BM90" s="222"/>
      <c r="BN90" s="222"/>
      <c r="BO90" s="222"/>
      <c r="BP90" s="222"/>
      <c r="BQ90" s="222"/>
      <c r="BR90" s="222"/>
      <c r="BS90" s="222"/>
      <c r="BT90" s="222"/>
      <c r="BU90" s="222"/>
      <c r="BV90" s="222"/>
      <c r="BW90" s="222"/>
      <c r="BX90" s="222"/>
      <c r="BY90" s="222"/>
      <c r="BZ90" s="222"/>
      <c r="CA90" s="222"/>
      <c r="CB90" s="222"/>
      <c r="CC90" s="222"/>
      <c r="CD90" s="222"/>
      <c r="CE90" s="222"/>
      <c r="CF90" s="222"/>
      <c r="CG90" s="222"/>
      <c r="CH90" s="222"/>
      <c r="CI90" s="222"/>
      <c r="CJ90" s="222"/>
      <c r="CK90" s="222"/>
      <c r="CL90" s="222"/>
      <c r="CM90" s="222"/>
      <c r="CN90" s="222"/>
      <c r="CO90" s="222"/>
      <c r="CP90" s="222"/>
      <c r="CQ90" s="222"/>
      <c r="CR90" s="222"/>
    </row>
    <row r="91" spans="1:96" s="239" customFormat="1" x14ac:dyDescent="0.2">
      <c r="A91" s="436" t="s">
        <v>115</v>
      </c>
      <c r="B91" s="437"/>
      <c r="C91" s="438"/>
      <c r="D91" s="238">
        <f t="shared" ref="D91:AI91" si="118">D20</f>
        <v>44.037396000000008</v>
      </c>
      <c r="E91" s="238">
        <f t="shared" si="118"/>
        <v>14.104600663333336</v>
      </c>
      <c r="F91" s="238">
        <f t="shared" si="118"/>
        <v>0</v>
      </c>
      <c r="G91" s="238">
        <f t="shared" si="118"/>
        <v>6.5529639966666684</v>
      </c>
      <c r="H91" s="238">
        <f t="shared" si="118"/>
        <v>7.2756606666666661</v>
      </c>
      <c r="I91" s="238">
        <f t="shared" si="118"/>
        <v>0.27597600000000005</v>
      </c>
      <c r="J91" s="254">
        <f t="shared" si="118"/>
        <v>0.90774999666666933</v>
      </c>
      <c r="K91" s="254">
        <f t="shared" si="118"/>
        <v>0</v>
      </c>
      <c r="L91" s="254">
        <f t="shared" si="118"/>
        <v>0.90774999666666933</v>
      </c>
      <c r="M91" s="254">
        <f t="shared" si="118"/>
        <v>0</v>
      </c>
      <c r="N91" s="254">
        <f t="shared" si="118"/>
        <v>0</v>
      </c>
      <c r="O91" s="250">
        <f t="shared" si="118"/>
        <v>13.196850666666666</v>
      </c>
      <c r="P91" s="250">
        <f t="shared" si="118"/>
        <v>0</v>
      </c>
      <c r="Q91" s="250">
        <f t="shared" si="118"/>
        <v>5.6452139999999993</v>
      </c>
      <c r="R91" s="250">
        <f t="shared" si="118"/>
        <v>7.2756606666666661</v>
      </c>
      <c r="S91" s="250">
        <f t="shared" si="118"/>
        <v>0.27597600000000005</v>
      </c>
      <c r="T91" s="238">
        <f t="shared" si="118"/>
        <v>0</v>
      </c>
      <c r="U91" s="238">
        <f t="shared" si="118"/>
        <v>0</v>
      </c>
      <c r="V91" s="238">
        <f t="shared" si="118"/>
        <v>0</v>
      </c>
      <c r="W91" s="238">
        <f t="shared" si="118"/>
        <v>0</v>
      </c>
      <c r="X91" s="238">
        <f t="shared" si="118"/>
        <v>0</v>
      </c>
      <c r="Y91" s="238">
        <f t="shared" si="118"/>
        <v>0</v>
      </c>
      <c r="Z91" s="238">
        <f t="shared" si="118"/>
        <v>0</v>
      </c>
      <c r="AA91" s="238">
        <f t="shared" si="118"/>
        <v>0</v>
      </c>
      <c r="AB91" s="238">
        <f t="shared" si="118"/>
        <v>0</v>
      </c>
      <c r="AC91" s="238">
        <f t="shared" si="118"/>
        <v>0</v>
      </c>
      <c r="AD91" s="238">
        <f t="shared" si="118"/>
        <v>36.69783000000001</v>
      </c>
      <c r="AE91" s="238">
        <f t="shared" si="118"/>
        <v>36.738211130000003</v>
      </c>
      <c r="AF91" s="238">
        <f t="shared" si="118"/>
        <v>0</v>
      </c>
      <c r="AG91" s="238">
        <f t="shared" si="118"/>
        <v>14.334860490000001</v>
      </c>
      <c r="AH91" s="238">
        <f t="shared" si="118"/>
        <v>22.342350640000003</v>
      </c>
      <c r="AI91" s="238">
        <f t="shared" si="118"/>
        <v>1.6E-2</v>
      </c>
      <c r="AJ91" s="254">
        <f t="shared" ref="AJ91:BC91" si="119">AJ20</f>
        <v>0.78756925</v>
      </c>
      <c r="AK91" s="254">
        <f t="shared" si="119"/>
        <v>0</v>
      </c>
      <c r="AL91" s="254">
        <f t="shared" si="119"/>
        <v>0.77156924999999998</v>
      </c>
      <c r="AM91" s="254">
        <f t="shared" si="119"/>
        <v>0</v>
      </c>
      <c r="AN91" s="254">
        <f t="shared" si="119"/>
        <v>1.6E-2</v>
      </c>
      <c r="AO91" s="313">
        <f t="shared" si="119"/>
        <v>19.673221160000001</v>
      </c>
      <c r="AP91" s="313">
        <f t="shared" si="119"/>
        <v>0</v>
      </c>
      <c r="AQ91" s="313">
        <f t="shared" si="119"/>
        <v>3.15671218</v>
      </c>
      <c r="AR91" s="313">
        <f t="shared" si="119"/>
        <v>16.471508980000003</v>
      </c>
      <c r="AS91" s="313">
        <f t="shared" si="119"/>
        <v>0</v>
      </c>
      <c r="AT91" s="250">
        <f t="shared" si="119"/>
        <v>12.55220581</v>
      </c>
      <c r="AU91" s="250">
        <f t="shared" si="119"/>
        <v>0</v>
      </c>
      <c r="AV91" s="250">
        <f t="shared" si="119"/>
        <v>6.9667808200000003</v>
      </c>
      <c r="AW91" s="250">
        <f t="shared" si="119"/>
        <v>5.5854249899999999</v>
      </c>
      <c r="AX91" s="250">
        <f t="shared" si="119"/>
        <v>0</v>
      </c>
      <c r="AY91" s="254">
        <f t="shared" si="119"/>
        <v>3.72521491</v>
      </c>
      <c r="AZ91" s="238">
        <f t="shared" si="119"/>
        <v>0</v>
      </c>
      <c r="BA91" s="238">
        <f t="shared" si="119"/>
        <v>3.43979824</v>
      </c>
      <c r="BB91" s="238">
        <f t="shared" si="119"/>
        <v>0.28541666999999998</v>
      </c>
      <c r="BC91" s="238">
        <f t="shared" si="119"/>
        <v>0</v>
      </c>
    </row>
    <row r="92" spans="1:96" x14ac:dyDescent="0.2">
      <c r="B92" s="255"/>
      <c r="C92" s="255"/>
      <c r="D92" s="255"/>
      <c r="E92" s="255"/>
      <c r="F92" s="255"/>
      <c r="G92" s="255"/>
      <c r="H92" s="255"/>
      <c r="I92" s="255"/>
      <c r="T92" s="255"/>
      <c r="U92" s="255"/>
      <c r="V92" s="255"/>
      <c r="W92" s="255"/>
      <c r="X92" s="255"/>
      <c r="Y92" s="255"/>
      <c r="Z92" s="255"/>
      <c r="AA92" s="255"/>
      <c r="AB92" s="255"/>
      <c r="AC92" s="255"/>
      <c r="AD92" s="255"/>
      <c r="AE92" s="255"/>
      <c r="AF92" s="255"/>
      <c r="AG92" s="255"/>
      <c r="AH92" s="255"/>
      <c r="AI92" s="255"/>
      <c r="AY92" s="255"/>
      <c r="AZ92" s="255"/>
      <c r="BA92" s="255"/>
      <c r="BB92" s="255"/>
      <c r="BC92" s="255"/>
      <c r="BD92" s="255"/>
      <c r="BE92" s="255"/>
    </row>
    <row r="93" spans="1:96" x14ac:dyDescent="0.2">
      <c r="H93" s="255"/>
      <c r="I93" s="255"/>
      <c r="T93" s="255"/>
      <c r="U93" s="255"/>
      <c r="V93" s="255"/>
      <c r="W93" s="255"/>
      <c r="X93" s="255"/>
      <c r="Y93" s="255"/>
      <c r="Z93" s="255"/>
      <c r="AA93" s="255"/>
      <c r="AB93" s="255"/>
      <c r="AC93" s="255"/>
      <c r="AD93" s="255"/>
      <c r="AE93" s="255"/>
      <c r="AF93" s="255"/>
      <c r="AG93" s="255"/>
      <c r="AH93" s="255"/>
      <c r="AI93" s="255"/>
      <c r="AY93" s="255"/>
      <c r="AZ93" s="255"/>
      <c r="BA93" s="255"/>
      <c r="BB93" s="255"/>
      <c r="BC93" s="255"/>
      <c r="BD93" s="255"/>
      <c r="BE93" s="255"/>
    </row>
    <row r="94" spans="1:96" x14ac:dyDescent="0.2">
      <c r="H94" s="255"/>
      <c r="I94" s="255"/>
      <c r="T94" s="255"/>
      <c r="U94" s="255"/>
      <c r="V94" s="255"/>
      <c r="W94" s="255"/>
      <c r="X94" s="255"/>
      <c r="Y94" s="255"/>
      <c r="Z94" s="255"/>
      <c r="AA94" s="255"/>
      <c r="AB94" s="255"/>
      <c r="AC94" s="255"/>
      <c r="AD94" s="255"/>
      <c r="AE94" s="255"/>
      <c r="AF94" s="255"/>
      <c r="AG94" s="255"/>
      <c r="AH94" s="255"/>
      <c r="AI94" s="255"/>
      <c r="AY94" s="255"/>
      <c r="AZ94" s="255"/>
      <c r="BA94" s="255"/>
      <c r="BB94" s="255"/>
      <c r="BC94" s="255"/>
      <c r="BD94" s="255"/>
      <c r="BE94" s="255"/>
    </row>
    <row r="95" spans="1:96" x14ac:dyDescent="0.2">
      <c r="H95" s="255"/>
      <c r="I95" s="255"/>
      <c r="T95" s="255"/>
      <c r="U95" s="255"/>
      <c r="V95" s="255"/>
      <c r="W95" s="255"/>
      <c r="X95" s="255"/>
      <c r="Y95" s="255"/>
      <c r="Z95" s="255"/>
      <c r="AA95" s="255"/>
      <c r="AB95" s="255"/>
      <c r="AC95" s="255"/>
      <c r="AD95" s="255"/>
      <c r="AE95" s="255"/>
      <c r="AF95" s="255"/>
      <c r="AG95" s="255"/>
      <c r="AH95" s="255"/>
      <c r="AI95" s="255"/>
      <c r="AY95" s="255"/>
      <c r="AZ95" s="255"/>
      <c r="BA95" s="255"/>
      <c r="BB95" s="255"/>
      <c r="BC95" s="255"/>
      <c r="BD95" s="255"/>
      <c r="BE95" s="255"/>
    </row>
    <row r="96" spans="1:96" x14ac:dyDescent="0.2">
      <c r="H96" s="255"/>
      <c r="I96" s="255"/>
      <c r="T96" s="255"/>
      <c r="U96" s="255"/>
      <c r="V96" s="255"/>
      <c r="W96" s="255"/>
      <c r="X96" s="255"/>
      <c r="Y96" s="255"/>
      <c r="Z96" s="255"/>
      <c r="AA96" s="255"/>
      <c r="AB96" s="255"/>
      <c r="AC96" s="255"/>
      <c r="AD96" s="255"/>
      <c r="AE96" s="255"/>
      <c r="AF96" s="255"/>
      <c r="AG96" s="255"/>
      <c r="AH96" s="255"/>
      <c r="AI96" s="255"/>
      <c r="AY96" s="255"/>
      <c r="AZ96" s="255"/>
      <c r="BA96" s="255"/>
      <c r="BB96" s="255"/>
      <c r="BC96" s="255"/>
      <c r="BD96" s="255"/>
      <c r="BE96" s="255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8">
    <mergeCell ref="A91:C91"/>
    <mergeCell ref="A13:BC13"/>
    <mergeCell ref="A5:BC5"/>
    <mergeCell ref="B15:B18"/>
    <mergeCell ref="A14:BC14"/>
    <mergeCell ref="D15:AC15"/>
    <mergeCell ref="Y17:AC17"/>
    <mergeCell ref="AD15:BC15"/>
    <mergeCell ref="A15:A18"/>
    <mergeCell ref="C15:C18"/>
    <mergeCell ref="E16:AC16"/>
    <mergeCell ref="E17:I17"/>
    <mergeCell ref="AE16:BC16"/>
    <mergeCell ref="AE17:AI17"/>
    <mergeCell ref="AJ17:AN17"/>
    <mergeCell ref="AO17:AS17"/>
    <mergeCell ref="A4:BC4"/>
    <mergeCell ref="A7:BC7"/>
    <mergeCell ref="A8:BC8"/>
    <mergeCell ref="A10:BC10"/>
    <mergeCell ref="A12:BC12"/>
    <mergeCell ref="AT17:AX17"/>
    <mergeCell ref="AY17:BC17"/>
    <mergeCell ref="D17:D18"/>
    <mergeCell ref="AD17:AD18"/>
    <mergeCell ref="J17:N17"/>
    <mergeCell ref="O17:S17"/>
    <mergeCell ref="T17:X17"/>
  </mergeCells>
  <hyperlinks>
    <hyperlink ref="B61" r:id="rId2" display="Установка  КТПН 6/04кВ  в центрах питания с тр-рам ТМГ-250.Строительство ВЛ,КЛ-6,04кВ ул.Фабричная" xr:uid="{00000000-0004-0000-0900-000000000000}"/>
    <hyperlink ref="B62" r:id="rId3" display="Установка КТПН 6/04кВ  в центрах питания с тр-рам ТМГ-250 .Строительство ВЛ,КЛ-6,04кВ ул.Молоджежная" xr:uid="{00000000-0004-0000-0900-000001000000}"/>
  </hyperlinks>
  <pageMargins left="0.78740157480314965" right="0.39370078740157483" top="0.78740157480314965" bottom="0.78740157480314965" header="0.31496062992125984" footer="0.31496062992125984"/>
  <pageSetup paperSize="9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57</v>
      </c>
    </row>
    <row r="2" spans="1:34" ht="18.75" x14ac:dyDescent="0.3">
      <c r="U2" s="38" t="s">
        <v>0</v>
      </c>
    </row>
    <row r="3" spans="1:34" ht="18.75" x14ac:dyDescent="0.3">
      <c r="U3" s="29" t="s">
        <v>854</v>
      </c>
    </row>
    <row r="4" spans="1:34" s="39" customFormat="1" ht="18.75" x14ac:dyDescent="0.3">
      <c r="A4" s="346" t="s">
        <v>214</v>
      </c>
      <c r="B4" s="346"/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49" t="s">
        <v>65</v>
      </c>
      <c r="B5" s="349"/>
      <c r="C5" s="349"/>
      <c r="D5" s="349"/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49" t="s">
        <v>858</v>
      </c>
      <c r="B7" s="349"/>
      <c r="C7" s="349"/>
      <c r="D7" s="349"/>
      <c r="E7" s="349"/>
      <c r="F7" s="349"/>
      <c r="G7" s="349"/>
      <c r="H7" s="349"/>
      <c r="I7" s="349"/>
      <c r="J7" s="349"/>
      <c r="K7" s="349"/>
      <c r="L7" s="349"/>
      <c r="M7" s="349"/>
      <c r="N7" s="349"/>
      <c r="O7" s="349"/>
      <c r="P7" s="349"/>
      <c r="Q7" s="349"/>
      <c r="R7" s="349"/>
      <c r="S7" s="349"/>
      <c r="T7" s="349"/>
      <c r="U7" s="349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48" t="s">
        <v>859</v>
      </c>
      <c r="B8" s="348"/>
      <c r="C8" s="348"/>
      <c r="D8" s="348"/>
      <c r="E8" s="348"/>
      <c r="F8" s="348"/>
      <c r="G8" s="348"/>
      <c r="H8" s="348"/>
      <c r="I8" s="348"/>
      <c r="J8" s="348"/>
      <c r="K8" s="348"/>
      <c r="L8" s="348"/>
      <c r="M8" s="348"/>
      <c r="N8" s="348"/>
      <c r="O8" s="348"/>
      <c r="P8" s="348"/>
      <c r="Q8" s="348"/>
      <c r="R8" s="348"/>
      <c r="S8" s="348"/>
      <c r="T8" s="348"/>
      <c r="U8" s="348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50" t="s">
        <v>21</v>
      </c>
      <c r="B10" s="350"/>
      <c r="C10" s="350"/>
      <c r="D10" s="350"/>
      <c r="E10" s="350"/>
      <c r="F10" s="350"/>
      <c r="G10" s="350"/>
      <c r="H10" s="350"/>
      <c r="I10" s="350"/>
      <c r="J10" s="350"/>
      <c r="K10" s="350"/>
      <c r="L10" s="350"/>
      <c r="M10" s="350"/>
      <c r="N10" s="350"/>
      <c r="O10" s="350"/>
      <c r="P10" s="350"/>
      <c r="Q10" s="350"/>
      <c r="R10" s="350"/>
      <c r="S10" s="350"/>
      <c r="T10" s="350"/>
      <c r="U10" s="350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51" t="s">
        <v>857</v>
      </c>
      <c r="B12" s="351"/>
      <c r="C12" s="351"/>
      <c r="D12" s="351"/>
      <c r="E12" s="351"/>
      <c r="F12" s="351"/>
      <c r="G12" s="351"/>
      <c r="H12" s="351"/>
      <c r="I12" s="351"/>
      <c r="J12" s="351"/>
      <c r="K12" s="351"/>
      <c r="L12" s="351"/>
      <c r="M12" s="351"/>
      <c r="N12" s="351"/>
      <c r="O12" s="351"/>
      <c r="P12" s="351"/>
      <c r="Q12" s="351"/>
      <c r="R12" s="351"/>
      <c r="S12" s="351"/>
      <c r="T12" s="351"/>
      <c r="U12" s="351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48" t="s">
        <v>860</v>
      </c>
      <c r="B13" s="348"/>
      <c r="C13" s="348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8"/>
      <c r="Q13" s="348"/>
      <c r="R13" s="348"/>
      <c r="S13" s="348"/>
      <c r="T13" s="348"/>
      <c r="U13" s="348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47"/>
      <c r="B14" s="347"/>
      <c r="C14" s="347"/>
      <c r="D14" s="347"/>
      <c r="E14" s="347"/>
      <c r="F14" s="347"/>
      <c r="G14" s="347"/>
      <c r="H14" s="347"/>
      <c r="I14" s="347"/>
      <c r="J14" s="347"/>
      <c r="K14" s="347"/>
      <c r="L14" s="347"/>
      <c r="M14" s="347"/>
      <c r="N14" s="347"/>
      <c r="O14" s="347"/>
      <c r="P14" s="347"/>
      <c r="Q14" s="347"/>
      <c r="R14" s="347"/>
      <c r="S14" s="347"/>
      <c r="T14" s="347"/>
      <c r="U14" s="347"/>
      <c r="V14" s="38"/>
    </row>
    <row r="15" spans="1:34" ht="15.75" customHeight="1" x14ac:dyDescent="0.25">
      <c r="A15" s="316" t="s">
        <v>66</v>
      </c>
      <c r="B15" s="316" t="s">
        <v>20</v>
      </c>
      <c r="C15" s="316" t="s">
        <v>5</v>
      </c>
      <c r="D15" s="316" t="s">
        <v>875</v>
      </c>
      <c r="E15" s="316" t="s">
        <v>876</v>
      </c>
      <c r="F15" s="338" t="s">
        <v>877</v>
      </c>
      <c r="G15" s="340"/>
      <c r="H15" s="316" t="s">
        <v>878</v>
      </c>
      <c r="I15" s="316"/>
      <c r="J15" s="316" t="s">
        <v>879</v>
      </c>
      <c r="K15" s="316"/>
      <c r="L15" s="316"/>
      <c r="M15" s="316"/>
      <c r="N15" s="316" t="s">
        <v>880</v>
      </c>
      <c r="O15" s="316"/>
      <c r="P15" s="338" t="s">
        <v>818</v>
      </c>
      <c r="Q15" s="339"/>
      <c r="R15" s="339"/>
      <c r="S15" s="340"/>
      <c r="T15" s="316" t="s">
        <v>7</v>
      </c>
      <c r="U15" s="316"/>
      <c r="V15" s="154"/>
    </row>
    <row r="16" spans="1:34" ht="59.25" customHeight="1" x14ac:dyDescent="0.25">
      <c r="A16" s="316"/>
      <c r="B16" s="316"/>
      <c r="C16" s="316"/>
      <c r="D16" s="316"/>
      <c r="E16" s="316"/>
      <c r="F16" s="341"/>
      <c r="G16" s="343"/>
      <c r="H16" s="316"/>
      <c r="I16" s="316"/>
      <c r="J16" s="316"/>
      <c r="K16" s="316"/>
      <c r="L16" s="316"/>
      <c r="M16" s="316"/>
      <c r="N16" s="316"/>
      <c r="O16" s="316"/>
      <c r="P16" s="341"/>
      <c r="Q16" s="342"/>
      <c r="R16" s="342"/>
      <c r="S16" s="343"/>
      <c r="T16" s="316"/>
      <c r="U16" s="316"/>
    </row>
    <row r="17" spans="1:21" ht="49.5" customHeight="1" x14ac:dyDescent="0.25">
      <c r="A17" s="316"/>
      <c r="B17" s="316"/>
      <c r="C17" s="316"/>
      <c r="D17" s="316"/>
      <c r="E17" s="316"/>
      <c r="F17" s="341"/>
      <c r="G17" s="343"/>
      <c r="H17" s="316"/>
      <c r="I17" s="316"/>
      <c r="J17" s="316" t="s">
        <v>9</v>
      </c>
      <c r="K17" s="316"/>
      <c r="L17" s="316" t="s">
        <v>10</v>
      </c>
      <c r="M17" s="316"/>
      <c r="N17" s="316"/>
      <c r="O17" s="316"/>
      <c r="P17" s="344" t="s">
        <v>881</v>
      </c>
      <c r="Q17" s="345"/>
      <c r="R17" s="344" t="s">
        <v>8</v>
      </c>
      <c r="S17" s="345"/>
      <c r="T17" s="316"/>
      <c r="U17" s="316"/>
    </row>
    <row r="18" spans="1:21" ht="129" customHeight="1" x14ac:dyDescent="0.25">
      <c r="A18" s="316"/>
      <c r="B18" s="316"/>
      <c r="C18" s="316"/>
      <c r="D18" s="316"/>
      <c r="E18" s="316"/>
      <c r="F18" s="155" t="s">
        <v>4</v>
      </c>
      <c r="G18" s="155" t="s">
        <v>15</v>
      </c>
      <c r="H18" s="155" t="s">
        <v>4</v>
      </c>
      <c r="I18" s="155" t="s">
        <v>15</v>
      </c>
      <c r="J18" s="155" t="s">
        <v>4</v>
      </c>
      <c r="K18" s="155" t="s">
        <v>814</v>
      </c>
      <c r="L18" s="155" t="s">
        <v>4</v>
      </c>
      <c r="M18" s="155" t="s">
        <v>813</v>
      </c>
      <c r="N18" s="155" t="s">
        <v>4</v>
      </c>
      <c r="O18" s="155" t="s">
        <v>15</v>
      </c>
      <c r="P18" s="155" t="s">
        <v>4</v>
      </c>
      <c r="Q18" s="155" t="s">
        <v>814</v>
      </c>
      <c r="R18" s="155" t="s">
        <v>4</v>
      </c>
      <c r="S18" s="155" t="s">
        <v>815</v>
      </c>
      <c r="T18" s="316"/>
      <c r="U18" s="316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316">
        <f>S19+1</f>
        <v>20</v>
      </c>
      <c r="U19" s="316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44"/>
      <c r="U20" s="345"/>
    </row>
    <row r="21" spans="1:21" x14ac:dyDescent="0.25">
      <c r="A21" s="316" t="s">
        <v>115</v>
      </c>
      <c r="B21" s="316"/>
      <c r="C21" s="316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316"/>
      <c r="U21" s="316"/>
    </row>
    <row r="23" spans="1:21" s="5" customFormat="1" ht="49.5" customHeight="1" x14ac:dyDescent="0.25">
      <c r="A23" s="337" t="s">
        <v>849</v>
      </c>
      <c r="B23" s="337"/>
      <c r="C23" s="337"/>
      <c r="D23" s="337"/>
      <c r="E23" s="337"/>
      <c r="F23" s="337"/>
      <c r="G23" s="337"/>
      <c r="H23" s="337"/>
      <c r="I23" s="337"/>
      <c r="J23" s="337"/>
      <c r="K23" s="337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58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854</v>
      </c>
      <c r="Y3" s="2"/>
    </row>
    <row r="4" spans="1:52" s="8" customFormat="1" ht="18.75" x14ac:dyDescent="0.3">
      <c r="A4" s="325" t="s">
        <v>816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167"/>
      <c r="Y4" s="167"/>
      <c r="Z4" s="167"/>
      <c r="AA4" s="167"/>
    </row>
    <row r="5" spans="1:52" s="8" customFormat="1" ht="18.75" x14ac:dyDescent="0.3">
      <c r="A5" s="318" t="s">
        <v>65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318" t="s">
        <v>851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8"/>
      <c r="T7" s="318"/>
      <c r="U7" s="318"/>
      <c r="V7" s="318"/>
      <c r="W7" s="318"/>
      <c r="X7" s="159"/>
      <c r="Y7" s="159"/>
      <c r="Z7" s="159"/>
      <c r="AA7" s="159"/>
    </row>
    <row r="8" spans="1:52" x14ac:dyDescent="0.25">
      <c r="A8" s="321" t="s">
        <v>69</v>
      </c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  <c r="N8" s="321"/>
      <c r="O8" s="321"/>
      <c r="P8" s="321"/>
      <c r="Q8" s="321"/>
      <c r="R8" s="321"/>
      <c r="S8" s="321"/>
      <c r="T8" s="321"/>
      <c r="U8" s="321"/>
      <c r="V8" s="321"/>
      <c r="W8" s="321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319" t="s">
        <v>21</v>
      </c>
      <c r="B10" s="319"/>
      <c r="C10" s="319"/>
      <c r="D10" s="319"/>
      <c r="E10" s="319"/>
      <c r="F10" s="319"/>
      <c r="G10" s="319"/>
      <c r="H10" s="319"/>
      <c r="I10" s="319"/>
      <c r="J10" s="319"/>
      <c r="K10" s="319"/>
      <c r="L10" s="319"/>
      <c r="M10" s="319"/>
      <c r="N10" s="319"/>
      <c r="O10" s="319"/>
      <c r="P10" s="319"/>
      <c r="Q10" s="319"/>
      <c r="R10" s="319"/>
      <c r="S10" s="319"/>
      <c r="T10" s="319"/>
      <c r="U10" s="319"/>
      <c r="V10" s="319"/>
      <c r="W10" s="319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314" t="s">
        <v>55</v>
      </c>
      <c r="B12" s="314"/>
      <c r="C12" s="314"/>
      <c r="D12" s="314"/>
      <c r="E12" s="314"/>
      <c r="F12" s="314"/>
      <c r="G12" s="314"/>
      <c r="H12" s="314"/>
      <c r="I12" s="314"/>
      <c r="J12" s="314"/>
      <c r="K12" s="314"/>
      <c r="L12" s="314"/>
      <c r="M12" s="314"/>
      <c r="N12" s="314"/>
      <c r="O12" s="314"/>
      <c r="P12" s="314"/>
      <c r="Q12" s="314"/>
      <c r="R12" s="314"/>
      <c r="S12" s="314"/>
      <c r="T12" s="314"/>
      <c r="U12" s="314"/>
      <c r="V12" s="314"/>
      <c r="W12" s="314"/>
      <c r="X12" s="169"/>
      <c r="Y12" s="169"/>
      <c r="Z12" s="169"/>
      <c r="AA12" s="169"/>
    </row>
    <row r="13" spans="1:52" x14ac:dyDescent="0.25">
      <c r="A13" s="321" t="s">
        <v>70</v>
      </c>
      <c r="B13" s="321"/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25"/>
      <c r="Y13" s="25"/>
      <c r="Z13" s="25"/>
      <c r="AA13" s="25"/>
    </row>
    <row r="14" spans="1:52" ht="15.75" customHeight="1" x14ac:dyDescent="0.25">
      <c r="A14" s="356"/>
      <c r="B14" s="356"/>
      <c r="C14" s="356"/>
      <c r="D14" s="356"/>
      <c r="E14" s="356"/>
      <c r="F14" s="356"/>
      <c r="G14" s="356"/>
      <c r="H14" s="356"/>
      <c r="I14" s="356"/>
      <c r="J14" s="356"/>
      <c r="K14" s="356"/>
      <c r="L14" s="356"/>
      <c r="M14" s="356"/>
      <c r="N14" s="356"/>
      <c r="O14" s="356"/>
      <c r="P14" s="356"/>
      <c r="Q14" s="356"/>
      <c r="R14" s="356"/>
      <c r="S14" s="356"/>
      <c r="T14" s="356"/>
      <c r="U14" s="356"/>
      <c r="V14" s="356"/>
      <c r="W14" s="356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52" t="s">
        <v>66</v>
      </c>
      <c r="B15" s="355" t="s">
        <v>20</v>
      </c>
      <c r="C15" s="355" t="s">
        <v>5</v>
      </c>
      <c r="D15" s="352" t="s">
        <v>882</v>
      </c>
      <c r="E15" s="357" t="s">
        <v>843</v>
      </c>
      <c r="F15" s="357"/>
      <c r="G15" s="357"/>
      <c r="H15" s="357"/>
      <c r="I15" s="357"/>
      <c r="J15" s="357"/>
      <c r="K15" s="357"/>
      <c r="L15" s="357"/>
      <c r="M15" s="357"/>
      <c r="N15" s="357"/>
      <c r="O15" s="357"/>
      <c r="P15" s="357"/>
      <c r="Q15" s="357"/>
      <c r="R15" s="357"/>
      <c r="S15" s="320" t="s">
        <v>190</v>
      </c>
      <c r="T15" s="320"/>
      <c r="U15" s="320"/>
      <c r="V15" s="320"/>
      <c r="W15" s="355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53"/>
      <c r="B16" s="355"/>
      <c r="C16" s="355"/>
      <c r="D16" s="353"/>
      <c r="E16" s="357" t="s">
        <v>9</v>
      </c>
      <c r="F16" s="357"/>
      <c r="G16" s="357"/>
      <c r="H16" s="357"/>
      <c r="I16" s="357"/>
      <c r="J16" s="357"/>
      <c r="K16" s="357"/>
      <c r="L16" s="357" t="s">
        <v>10</v>
      </c>
      <c r="M16" s="357"/>
      <c r="N16" s="357"/>
      <c r="O16" s="357"/>
      <c r="P16" s="357"/>
      <c r="Q16" s="357"/>
      <c r="R16" s="357"/>
      <c r="S16" s="320"/>
      <c r="T16" s="320"/>
      <c r="U16" s="320"/>
      <c r="V16" s="320"/>
      <c r="W16" s="355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53"/>
      <c r="B17" s="355"/>
      <c r="C17" s="355"/>
      <c r="D17" s="353"/>
      <c r="E17" s="357"/>
      <c r="F17" s="357"/>
      <c r="G17" s="357"/>
      <c r="H17" s="357"/>
      <c r="I17" s="357"/>
      <c r="J17" s="357"/>
      <c r="K17" s="357"/>
      <c r="L17" s="357"/>
      <c r="M17" s="357"/>
      <c r="N17" s="357"/>
      <c r="O17" s="357"/>
      <c r="P17" s="357"/>
      <c r="Q17" s="357"/>
      <c r="R17" s="357"/>
      <c r="S17" s="320"/>
      <c r="T17" s="320"/>
      <c r="U17" s="320"/>
      <c r="V17" s="320"/>
      <c r="W17" s="355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53"/>
      <c r="B18" s="355"/>
      <c r="C18" s="355"/>
      <c r="D18" s="353"/>
      <c r="E18" s="173" t="s">
        <v>23</v>
      </c>
      <c r="F18" s="357" t="s">
        <v>22</v>
      </c>
      <c r="G18" s="357"/>
      <c r="H18" s="357"/>
      <c r="I18" s="357"/>
      <c r="J18" s="357"/>
      <c r="K18" s="357"/>
      <c r="L18" s="173" t="s">
        <v>23</v>
      </c>
      <c r="M18" s="357" t="s">
        <v>22</v>
      </c>
      <c r="N18" s="357"/>
      <c r="O18" s="357"/>
      <c r="P18" s="357"/>
      <c r="Q18" s="357"/>
      <c r="R18" s="357"/>
      <c r="S18" s="331" t="s">
        <v>23</v>
      </c>
      <c r="T18" s="333"/>
      <c r="U18" s="331" t="s">
        <v>22</v>
      </c>
      <c r="V18" s="333"/>
      <c r="W18" s="355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54"/>
      <c r="B19" s="355"/>
      <c r="C19" s="355"/>
      <c r="D19" s="354"/>
      <c r="E19" s="197" t="s">
        <v>881</v>
      </c>
      <c r="F19" s="197" t="s">
        <v>881</v>
      </c>
      <c r="G19" s="44" t="s">
        <v>2</v>
      </c>
      <c r="H19" s="44" t="s">
        <v>3</v>
      </c>
      <c r="I19" s="44" t="s">
        <v>54</v>
      </c>
      <c r="J19" s="44" t="s">
        <v>1</v>
      </c>
      <c r="K19" s="44" t="s">
        <v>13</v>
      </c>
      <c r="L19" s="197" t="s">
        <v>881</v>
      </c>
      <c r="M19" s="197" t="s">
        <v>881</v>
      </c>
      <c r="N19" s="44" t="s">
        <v>2</v>
      </c>
      <c r="O19" s="44" t="s">
        <v>3</v>
      </c>
      <c r="P19" s="44" t="s">
        <v>54</v>
      </c>
      <c r="Q19" s="44" t="s">
        <v>1</v>
      </c>
      <c r="R19" s="44" t="s">
        <v>13</v>
      </c>
      <c r="S19" s="196" t="s">
        <v>883</v>
      </c>
      <c r="T19" s="174" t="s">
        <v>112</v>
      </c>
      <c r="U19" s="196" t="s">
        <v>883</v>
      </c>
      <c r="V19" s="174" t="s">
        <v>112</v>
      </c>
      <c r="W19" s="355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331" t="s">
        <v>115</v>
      </c>
      <c r="B22" s="332"/>
      <c r="C22" s="333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337"/>
      <c r="B24" s="337"/>
      <c r="C24" s="337"/>
      <c r="D24" s="337"/>
      <c r="E24" s="337"/>
      <c r="F24" s="337"/>
      <c r="G24" s="337"/>
      <c r="H24" s="337"/>
      <c r="I24" s="337"/>
      <c r="J24" s="337"/>
      <c r="K24" s="337"/>
      <c r="L24" s="337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59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854</v>
      </c>
      <c r="Y3" s="7"/>
      <c r="Z3" s="10"/>
      <c r="AB3" s="2"/>
    </row>
    <row r="4" spans="1:47" s="23" customFormat="1" ht="40.5" customHeight="1" x14ac:dyDescent="0.25">
      <c r="A4" s="384" t="s">
        <v>812</v>
      </c>
      <c r="B4" s="384"/>
      <c r="C4" s="384"/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84"/>
      <c r="O4" s="384"/>
      <c r="P4" s="384"/>
      <c r="Q4" s="384"/>
      <c r="R4" s="384"/>
      <c r="S4" s="384"/>
      <c r="T4" s="384"/>
      <c r="U4" s="384"/>
      <c r="V4" s="384"/>
      <c r="W4" s="384"/>
      <c r="X4" s="384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318" t="s">
        <v>65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318" t="s">
        <v>851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8"/>
      <c r="T7" s="318"/>
      <c r="U7" s="318"/>
      <c r="V7" s="318"/>
      <c r="W7" s="318"/>
      <c r="X7" s="318"/>
      <c r="Y7" s="159"/>
      <c r="Z7" s="159"/>
      <c r="AA7" s="159"/>
      <c r="AB7" s="159"/>
      <c r="AC7" s="159"/>
      <c r="AD7" s="159"/>
      <c r="AE7" s="159"/>
    </row>
    <row r="8" spans="1:47" x14ac:dyDescent="0.25">
      <c r="A8" s="321" t="s">
        <v>68</v>
      </c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  <c r="N8" s="321"/>
      <c r="O8" s="321"/>
      <c r="P8" s="321"/>
      <c r="Q8" s="321"/>
      <c r="R8" s="321"/>
      <c r="S8" s="321"/>
      <c r="T8" s="321"/>
      <c r="U8" s="321"/>
      <c r="V8" s="321"/>
      <c r="W8" s="321"/>
      <c r="X8" s="321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319" t="s">
        <v>21</v>
      </c>
      <c r="B10" s="319"/>
      <c r="C10" s="319"/>
      <c r="D10" s="319"/>
      <c r="E10" s="319"/>
      <c r="F10" s="319"/>
      <c r="G10" s="319"/>
      <c r="H10" s="319"/>
      <c r="I10" s="319"/>
      <c r="J10" s="319"/>
      <c r="K10" s="319"/>
      <c r="L10" s="319"/>
      <c r="M10" s="319"/>
      <c r="N10" s="319"/>
      <c r="O10" s="319"/>
      <c r="P10" s="319"/>
      <c r="Q10" s="319"/>
      <c r="R10" s="319"/>
      <c r="S10" s="319"/>
      <c r="T10" s="319"/>
      <c r="U10" s="319"/>
      <c r="V10" s="319"/>
      <c r="W10" s="319"/>
      <c r="X10" s="319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314" t="s">
        <v>55</v>
      </c>
      <c r="B12" s="314"/>
      <c r="C12" s="314"/>
      <c r="D12" s="314"/>
      <c r="E12" s="314"/>
      <c r="F12" s="314"/>
      <c r="G12" s="314"/>
      <c r="H12" s="314"/>
      <c r="I12" s="314"/>
      <c r="J12" s="314"/>
      <c r="K12" s="314"/>
      <c r="L12" s="314"/>
      <c r="M12" s="314"/>
      <c r="N12" s="314"/>
      <c r="O12" s="314"/>
      <c r="P12" s="314"/>
      <c r="Q12" s="314"/>
      <c r="R12" s="314"/>
      <c r="S12" s="314"/>
      <c r="T12" s="314"/>
      <c r="U12" s="314"/>
      <c r="V12" s="314"/>
      <c r="W12" s="314"/>
      <c r="X12" s="314"/>
      <c r="Y12" s="19"/>
      <c r="Z12" s="19"/>
      <c r="AA12" s="19"/>
      <c r="AB12" s="169"/>
      <c r="AC12" s="169"/>
      <c r="AD12" s="169"/>
      <c r="AE12" s="169"/>
    </row>
    <row r="13" spans="1:47" x14ac:dyDescent="0.25">
      <c r="A13" s="321" t="s">
        <v>861</v>
      </c>
      <c r="B13" s="321"/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25"/>
      <c r="Z13" s="25"/>
      <c r="AA13" s="25"/>
      <c r="AB13" s="25"/>
      <c r="AC13" s="25"/>
      <c r="AD13" s="25"/>
      <c r="AE13" s="25"/>
    </row>
    <row r="14" spans="1:47" x14ac:dyDescent="0.25">
      <c r="A14" s="361"/>
      <c r="B14" s="361"/>
      <c r="C14" s="361"/>
      <c r="D14" s="361"/>
      <c r="E14" s="361"/>
      <c r="F14" s="361"/>
      <c r="G14" s="361"/>
      <c r="H14" s="361"/>
      <c r="I14" s="361"/>
      <c r="J14" s="361"/>
      <c r="K14" s="361"/>
      <c r="L14" s="361"/>
      <c r="M14" s="361"/>
      <c r="N14" s="361"/>
      <c r="O14" s="361"/>
      <c r="P14" s="361"/>
      <c r="Q14" s="361"/>
      <c r="R14" s="361"/>
      <c r="S14" s="361"/>
      <c r="T14" s="361"/>
      <c r="U14" s="361"/>
      <c r="V14" s="361"/>
      <c r="W14" s="361"/>
      <c r="X14" s="361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52" t="s">
        <v>66</v>
      </c>
      <c r="B15" s="355" t="s">
        <v>20</v>
      </c>
      <c r="C15" s="355" t="s">
        <v>5</v>
      </c>
      <c r="D15" s="363" t="s">
        <v>116</v>
      </c>
      <c r="E15" s="369" t="s">
        <v>844</v>
      </c>
      <c r="F15" s="370"/>
      <c r="G15" s="370"/>
      <c r="H15" s="370"/>
      <c r="I15" s="370"/>
      <c r="J15" s="370"/>
      <c r="K15" s="370"/>
      <c r="L15" s="370"/>
      <c r="M15" s="370"/>
      <c r="N15" s="370"/>
      <c r="O15" s="370"/>
      <c r="P15" s="371"/>
      <c r="Q15" s="369" t="s">
        <v>191</v>
      </c>
      <c r="R15" s="370"/>
      <c r="S15" s="370"/>
      <c r="T15" s="370"/>
      <c r="U15" s="371"/>
      <c r="V15" s="362" t="s">
        <v>7</v>
      </c>
      <c r="W15" s="362"/>
      <c r="X15" s="362"/>
      <c r="Y15" s="7"/>
      <c r="Z15" s="7"/>
    </row>
    <row r="16" spans="1:47" ht="22.5" customHeight="1" x14ac:dyDescent="0.25">
      <c r="A16" s="353"/>
      <c r="B16" s="355"/>
      <c r="C16" s="355"/>
      <c r="D16" s="364"/>
      <c r="E16" s="372"/>
      <c r="F16" s="373"/>
      <c r="G16" s="373"/>
      <c r="H16" s="373"/>
      <c r="I16" s="373"/>
      <c r="J16" s="373"/>
      <c r="K16" s="373"/>
      <c r="L16" s="373"/>
      <c r="M16" s="373"/>
      <c r="N16" s="373"/>
      <c r="O16" s="373"/>
      <c r="P16" s="374"/>
      <c r="Q16" s="375"/>
      <c r="R16" s="376"/>
      <c r="S16" s="376"/>
      <c r="T16" s="376"/>
      <c r="U16" s="377"/>
      <c r="V16" s="362"/>
      <c r="W16" s="362"/>
      <c r="X16" s="362"/>
      <c r="Y16" s="7"/>
      <c r="Z16" s="7"/>
    </row>
    <row r="17" spans="1:33" ht="24" customHeight="1" x14ac:dyDescent="0.25">
      <c r="A17" s="353"/>
      <c r="B17" s="355"/>
      <c r="C17" s="355"/>
      <c r="D17" s="364"/>
      <c r="E17" s="357" t="s">
        <v>9</v>
      </c>
      <c r="F17" s="357"/>
      <c r="G17" s="357"/>
      <c r="H17" s="357"/>
      <c r="I17" s="357"/>
      <c r="J17" s="357"/>
      <c r="K17" s="366" t="s">
        <v>10</v>
      </c>
      <c r="L17" s="367"/>
      <c r="M17" s="367"/>
      <c r="N17" s="367"/>
      <c r="O17" s="367"/>
      <c r="P17" s="368"/>
      <c r="Q17" s="372"/>
      <c r="R17" s="373"/>
      <c r="S17" s="373"/>
      <c r="T17" s="373"/>
      <c r="U17" s="374"/>
      <c r="V17" s="362"/>
      <c r="W17" s="362"/>
      <c r="X17" s="362"/>
      <c r="Y17" s="7"/>
      <c r="Z17" s="7"/>
    </row>
    <row r="18" spans="1:33" ht="75.75" customHeight="1" x14ac:dyDescent="0.25">
      <c r="A18" s="354"/>
      <c r="B18" s="355"/>
      <c r="C18" s="355"/>
      <c r="D18" s="365"/>
      <c r="E18" s="138" t="s">
        <v>63</v>
      </c>
      <c r="F18" s="44" t="s">
        <v>2</v>
      </c>
      <c r="G18" s="44" t="s">
        <v>3</v>
      </c>
      <c r="H18" s="13" t="s">
        <v>54</v>
      </c>
      <c r="I18" s="44" t="s">
        <v>1</v>
      </c>
      <c r="J18" s="44" t="s">
        <v>13</v>
      </c>
      <c r="K18" s="138" t="s">
        <v>63</v>
      </c>
      <c r="L18" s="44" t="s">
        <v>2</v>
      </c>
      <c r="M18" s="44" t="s">
        <v>3</v>
      </c>
      <c r="N18" s="13" t="s">
        <v>54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54</v>
      </c>
      <c r="T18" s="44" t="s">
        <v>1</v>
      </c>
      <c r="U18" s="44" t="s">
        <v>13</v>
      </c>
      <c r="V18" s="362"/>
      <c r="W18" s="362"/>
      <c r="X18" s="362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59">
        <f t="shared" si="0"/>
        <v>22</v>
      </c>
      <c r="W19" s="359"/>
      <c r="X19" s="359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81"/>
      <c r="W20" s="382"/>
      <c r="X20" s="383"/>
      <c r="Y20" s="7"/>
      <c r="Z20" s="7"/>
    </row>
    <row r="21" spans="1:33" s="1" customFormat="1" x14ac:dyDescent="0.25">
      <c r="A21" s="378" t="s">
        <v>115</v>
      </c>
      <c r="B21" s="379"/>
      <c r="C21" s="380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60"/>
      <c r="W21" s="360"/>
      <c r="X21" s="360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58" t="s">
        <v>78</v>
      </c>
      <c r="B22" s="358"/>
      <c r="C22" s="358"/>
      <c r="D22" s="358"/>
      <c r="E22" s="358"/>
      <c r="F22" s="358"/>
      <c r="G22" s="358"/>
      <c r="H22" s="358"/>
      <c r="I22" s="358"/>
      <c r="J22" s="358"/>
      <c r="K22" s="358"/>
      <c r="L22" s="358"/>
      <c r="M22" s="358"/>
      <c r="N22" s="358"/>
      <c r="O22" s="358"/>
      <c r="P22" s="358"/>
      <c r="Q22" s="358"/>
      <c r="R22" s="358"/>
      <c r="S22" s="358"/>
      <c r="T22" s="358"/>
      <c r="U22" s="358"/>
      <c r="V22" s="358"/>
      <c r="W22" s="358"/>
      <c r="X22" s="358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60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854</v>
      </c>
      <c r="AB3" s="7"/>
      <c r="AC3" s="10"/>
      <c r="AE3" s="2"/>
    </row>
    <row r="4" spans="1:36" s="23" customFormat="1" ht="18.75" x14ac:dyDescent="0.25">
      <c r="A4" s="384" t="s">
        <v>193</v>
      </c>
      <c r="B4" s="384"/>
      <c r="C4" s="384"/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84"/>
      <c r="O4" s="384"/>
      <c r="P4" s="384"/>
      <c r="Q4" s="384"/>
      <c r="R4" s="384"/>
      <c r="S4" s="384"/>
      <c r="T4" s="384"/>
      <c r="U4" s="384"/>
      <c r="V4" s="384"/>
      <c r="W4" s="384"/>
      <c r="X4" s="384"/>
      <c r="Y4" s="384"/>
      <c r="Z4" s="384"/>
      <c r="AA4" s="384"/>
      <c r="AB4" s="181"/>
      <c r="AC4" s="181"/>
      <c r="AD4" s="181"/>
      <c r="AE4" s="181"/>
      <c r="AF4" s="181"/>
    </row>
    <row r="5" spans="1:36" s="8" customFormat="1" ht="18.75" x14ac:dyDescent="0.3">
      <c r="A5" s="318" t="s">
        <v>65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  <c r="Z5" s="318"/>
      <c r="AA5" s="318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318" t="s">
        <v>851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8"/>
      <c r="T7" s="318"/>
      <c r="U7" s="318"/>
      <c r="V7" s="318"/>
      <c r="W7" s="318"/>
      <c r="X7" s="318"/>
      <c r="Y7" s="318"/>
      <c r="Z7" s="318"/>
      <c r="AA7" s="318"/>
      <c r="AB7" s="159"/>
      <c r="AC7" s="159"/>
      <c r="AD7" s="159"/>
      <c r="AE7" s="159"/>
      <c r="AF7" s="159"/>
    </row>
    <row r="8" spans="1:36" x14ac:dyDescent="0.25">
      <c r="A8" s="385" t="s">
        <v>68</v>
      </c>
      <c r="B8" s="385"/>
      <c r="C8" s="385"/>
      <c r="D8" s="385"/>
      <c r="E8" s="385"/>
      <c r="F8" s="385"/>
      <c r="G8" s="385"/>
      <c r="H8" s="385"/>
      <c r="I8" s="385"/>
      <c r="J8" s="385"/>
      <c r="K8" s="385"/>
      <c r="L8" s="385"/>
      <c r="M8" s="385"/>
      <c r="N8" s="385"/>
      <c r="O8" s="385"/>
      <c r="P8" s="385"/>
      <c r="Q8" s="385"/>
      <c r="R8" s="385"/>
      <c r="S8" s="385"/>
      <c r="T8" s="385"/>
      <c r="U8" s="385"/>
      <c r="V8" s="385"/>
      <c r="W8" s="385"/>
      <c r="X8" s="385"/>
      <c r="Y8" s="385"/>
      <c r="Z8" s="385"/>
      <c r="AA8" s="385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319" t="s">
        <v>21</v>
      </c>
      <c r="B10" s="319"/>
      <c r="C10" s="319"/>
      <c r="D10" s="319"/>
      <c r="E10" s="319"/>
      <c r="F10" s="319"/>
      <c r="G10" s="319"/>
      <c r="H10" s="319"/>
      <c r="I10" s="319"/>
      <c r="J10" s="319"/>
      <c r="K10" s="319"/>
      <c r="L10" s="319"/>
      <c r="M10" s="319"/>
      <c r="N10" s="319"/>
      <c r="O10" s="319"/>
      <c r="P10" s="319"/>
      <c r="Q10" s="319"/>
      <c r="R10" s="319"/>
      <c r="S10" s="319"/>
      <c r="T10" s="319"/>
      <c r="U10" s="319"/>
      <c r="V10" s="319"/>
      <c r="W10" s="319"/>
      <c r="X10" s="319"/>
      <c r="Y10" s="319"/>
      <c r="Z10" s="319"/>
      <c r="AA10" s="319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314" t="s">
        <v>55</v>
      </c>
      <c r="B12" s="314"/>
      <c r="C12" s="314"/>
      <c r="D12" s="314"/>
      <c r="E12" s="314"/>
      <c r="F12" s="314"/>
      <c r="G12" s="314"/>
      <c r="H12" s="314"/>
      <c r="I12" s="314"/>
      <c r="J12" s="314"/>
      <c r="K12" s="314"/>
      <c r="L12" s="314"/>
      <c r="M12" s="314"/>
      <c r="N12" s="314"/>
      <c r="O12" s="314"/>
      <c r="P12" s="314"/>
      <c r="Q12" s="314"/>
      <c r="R12" s="314"/>
      <c r="S12" s="314"/>
      <c r="T12" s="314"/>
      <c r="U12" s="314"/>
      <c r="V12" s="314"/>
      <c r="W12" s="314"/>
      <c r="X12" s="314"/>
      <c r="Y12" s="314"/>
      <c r="Z12" s="314"/>
      <c r="AA12" s="314"/>
      <c r="AB12" s="19"/>
      <c r="AC12" s="169"/>
      <c r="AD12" s="169"/>
      <c r="AE12" s="169"/>
      <c r="AF12" s="169"/>
    </row>
    <row r="13" spans="1:36" x14ac:dyDescent="0.25">
      <c r="A13" s="321" t="s">
        <v>862</v>
      </c>
      <c r="B13" s="321"/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52" t="s">
        <v>66</v>
      </c>
      <c r="B15" s="355" t="s">
        <v>20</v>
      </c>
      <c r="C15" s="355" t="s">
        <v>5</v>
      </c>
      <c r="D15" s="352" t="s">
        <v>116</v>
      </c>
      <c r="E15" s="357" t="s">
        <v>71</v>
      </c>
      <c r="F15" s="357"/>
      <c r="G15" s="357"/>
      <c r="H15" s="357"/>
      <c r="I15" s="357"/>
      <c r="J15" s="357"/>
      <c r="K15" s="357"/>
      <c r="L15" s="357"/>
      <c r="M15" s="357"/>
      <c r="N15" s="357"/>
      <c r="O15" s="357"/>
      <c r="P15" s="357"/>
      <c r="Q15" s="357"/>
      <c r="R15" s="357"/>
      <c r="S15" s="357"/>
      <c r="T15" s="369" t="s">
        <v>191</v>
      </c>
      <c r="U15" s="370"/>
      <c r="V15" s="370"/>
      <c r="W15" s="370"/>
      <c r="X15" s="370"/>
      <c r="Y15" s="370"/>
      <c r="Z15" s="371"/>
      <c r="AA15" s="362" t="s">
        <v>7</v>
      </c>
      <c r="AB15" s="7"/>
      <c r="AC15" s="7"/>
    </row>
    <row r="16" spans="1:36" ht="26.25" customHeight="1" x14ac:dyDescent="0.25">
      <c r="A16" s="353"/>
      <c r="B16" s="355"/>
      <c r="C16" s="355"/>
      <c r="D16" s="353"/>
      <c r="E16" s="357"/>
      <c r="F16" s="357"/>
      <c r="G16" s="357"/>
      <c r="H16" s="357"/>
      <c r="I16" s="357"/>
      <c r="J16" s="357"/>
      <c r="K16" s="357"/>
      <c r="L16" s="357"/>
      <c r="M16" s="357"/>
      <c r="N16" s="357"/>
      <c r="O16" s="357"/>
      <c r="P16" s="357"/>
      <c r="Q16" s="357"/>
      <c r="R16" s="357"/>
      <c r="S16" s="357"/>
      <c r="T16" s="375"/>
      <c r="U16" s="376"/>
      <c r="V16" s="376"/>
      <c r="W16" s="376"/>
      <c r="X16" s="376"/>
      <c r="Y16" s="376"/>
      <c r="Z16" s="377"/>
      <c r="AA16" s="362"/>
      <c r="AB16" s="7"/>
      <c r="AC16" s="7"/>
    </row>
    <row r="17" spans="1:33" ht="30" customHeight="1" x14ac:dyDescent="0.25">
      <c r="A17" s="353"/>
      <c r="B17" s="355"/>
      <c r="C17" s="355"/>
      <c r="D17" s="353"/>
      <c r="E17" s="357" t="s">
        <v>9</v>
      </c>
      <c r="F17" s="357"/>
      <c r="G17" s="357"/>
      <c r="H17" s="357"/>
      <c r="I17" s="357"/>
      <c r="J17" s="357"/>
      <c r="K17" s="357"/>
      <c r="L17" s="357" t="s">
        <v>10</v>
      </c>
      <c r="M17" s="357"/>
      <c r="N17" s="357"/>
      <c r="O17" s="357"/>
      <c r="P17" s="357"/>
      <c r="Q17" s="357"/>
      <c r="R17" s="357"/>
      <c r="S17" s="357"/>
      <c r="T17" s="372"/>
      <c r="U17" s="373"/>
      <c r="V17" s="373"/>
      <c r="W17" s="373"/>
      <c r="X17" s="373"/>
      <c r="Y17" s="373"/>
      <c r="Z17" s="374"/>
      <c r="AA17" s="362"/>
      <c r="AB17" s="7"/>
      <c r="AC17" s="7"/>
    </row>
    <row r="18" spans="1:33" ht="96" customHeight="1" x14ac:dyDescent="0.25">
      <c r="A18" s="354"/>
      <c r="B18" s="355"/>
      <c r="C18" s="355"/>
      <c r="D18" s="354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215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62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331" t="s">
        <v>115</v>
      </c>
      <c r="B21" s="332"/>
      <c r="C21" s="333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58" t="s">
        <v>78</v>
      </c>
      <c r="B22" s="358"/>
      <c r="C22" s="358"/>
      <c r="D22" s="358"/>
      <c r="E22" s="358"/>
      <c r="F22" s="358"/>
      <c r="G22" s="358"/>
      <c r="H22" s="358"/>
      <c r="I22" s="358"/>
      <c r="J22" s="358"/>
      <c r="K22" s="358"/>
      <c r="L22" s="358"/>
      <c r="M22" s="358"/>
      <c r="N22" s="358"/>
      <c r="O22" s="358"/>
      <c r="P22" s="358"/>
      <c r="Q22" s="358"/>
      <c r="R22" s="358"/>
      <c r="S22" s="358"/>
      <c r="T22" s="358"/>
      <c r="U22" s="358"/>
      <c r="V22" s="358"/>
      <c r="W22" s="358"/>
      <c r="X22" s="358"/>
      <c r="Y22" s="358"/>
      <c r="Z22" s="358"/>
      <c r="AA22" s="358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61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854</v>
      </c>
      <c r="V3" s="7"/>
      <c r="W3" s="7"/>
      <c r="X3" s="10"/>
      <c r="Z3" s="7"/>
      <c r="AC3" s="2"/>
    </row>
    <row r="4" spans="1:54" s="23" customFormat="1" ht="18.75" customHeight="1" x14ac:dyDescent="0.25">
      <c r="A4" s="384" t="s">
        <v>850</v>
      </c>
      <c r="B4" s="384"/>
      <c r="C4" s="384"/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84"/>
      <c r="O4" s="384"/>
      <c r="P4" s="384"/>
      <c r="Q4" s="384"/>
      <c r="R4" s="384"/>
      <c r="S4" s="384"/>
      <c r="T4" s="384"/>
      <c r="U4" s="384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318" t="s">
        <v>65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318" t="s">
        <v>851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8"/>
      <c r="T7" s="318"/>
      <c r="U7" s="318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85" t="s">
        <v>73</v>
      </c>
      <c r="B8" s="385"/>
      <c r="C8" s="385"/>
      <c r="D8" s="385"/>
      <c r="E8" s="385"/>
      <c r="F8" s="385"/>
      <c r="G8" s="385"/>
      <c r="H8" s="385"/>
      <c r="I8" s="385"/>
      <c r="J8" s="385"/>
      <c r="K8" s="385"/>
      <c r="L8" s="385"/>
      <c r="M8" s="385"/>
      <c r="N8" s="385"/>
      <c r="O8" s="385"/>
      <c r="P8" s="385"/>
      <c r="Q8" s="385"/>
      <c r="R8" s="385"/>
      <c r="S8" s="385"/>
      <c r="T8" s="385"/>
      <c r="U8" s="385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319" t="s">
        <v>21</v>
      </c>
      <c r="B10" s="319"/>
      <c r="C10" s="319"/>
      <c r="D10" s="319"/>
      <c r="E10" s="319"/>
      <c r="F10" s="319"/>
      <c r="G10" s="319"/>
      <c r="H10" s="319"/>
      <c r="I10" s="319"/>
      <c r="J10" s="319"/>
      <c r="K10" s="319"/>
      <c r="L10" s="319"/>
      <c r="M10" s="319"/>
      <c r="N10" s="319"/>
      <c r="O10" s="319"/>
      <c r="P10" s="319"/>
      <c r="Q10" s="319"/>
      <c r="R10" s="319"/>
      <c r="S10" s="319"/>
      <c r="T10" s="319"/>
      <c r="U10" s="319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55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321" t="s">
        <v>863</v>
      </c>
      <c r="B13" s="321"/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56"/>
      <c r="B15" s="356"/>
      <c r="C15" s="356"/>
      <c r="D15" s="356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6"/>
      <c r="R15" s="356"/>
      <c r="S15" s="356"/>
      <c r="T15" s="356"/>
      <c r="U15" s="356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52" t="s">
        <v>66</v>
      </c>
      <c r="B16" s="355" t="s">
        <v>20</v>
      </c>
      <c r="C16" s="355" t="s">
        <v>5</v>
      </c>
      <c r="D16" s="352" t="s">
        <v>64</v>
      </c>
      <c r="E16" s="355" t="s">
        <v>113</v>
      </c>
      <c r="F16" s="355"/>
      <c r="G16" s="355"/>
      <c r="H16" s="355"/>
      <c r="I16" s="355"/>
      <c r="J16" s="355"/>
      <c r="K16" s="355"/>
      <c r="L16" s="355"/>
      <c r="M16" s="355"/>
      <c r="N16" s="355"/>
      <c r="O16" s="355"/>
      <c r="P16" s="355" t="s">
        <v>191</v>
      </c>
      <c r="Q16" s="355"/>
      <c r="R16" s="355"/>
      <c r="S16" s="355"/>
      <c r="T16" s="355"/>
      <c r="U16" s="355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53"/>
      <c r="B17" s="355"/>
      <c r="C17" s="355"/>
      <c r="D17" s="353"/>
      <c r="E17" s="355"/>
      <c r="F17" s="355"/>
      <c r="G17" s="355"/>
      <c r="H17" s="355"/>
      <c r="I17" s="355"/>
      <c r="J17" s="355"/>
      <c r="K17" s="355"/>
      <c r="L17" s="355"/>
      <c r="M17" s="355"/>
      <c r="N17" s="355"/>
      <c r="O17" s="355"/>
      <c r="P17" s="355"/>
      <c r="Q17" s="355"/>
      <c r="R17" s="355"/>
      <c r="S17" s="355"/>
      <c r="T17" s="355"/>
      <c r="U17" s="355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53"/>
      <c r="B18" s="355"/>
      <c r="C18" s="355"/>
      <c r="D18" s="353"/>
      <c r="E18" s="357" t="s">
        <v>9</v>
      </c>
      <c r="F18" s="357"/>
      <c r="G18" s="357"/>
      <c r="H18" s="357"/>
      <c r="I18" s="357"/>
      <c r="J18" s="357" t="s">
        <v>10</v>
      </c>
      <c r="K18" s="357"/>
      <c r="L18" s="357"/>
      <c r="M18" s="357"/>
      <c r="N18" s="357"/>
      <c r="O18" s="357"/>
      <c r="P18" s="355"/>
      <c r="Q18" s="355"/>
      <c r="R18" s="355"/>
      <c r="S18" s="355"/>
      <c r="T18" s="355"/>
      <c r="U18" s="355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54"/>
      <c r="B19" s="355"/>
      <c r="C19" s="355"/>
      <c r="D19" s="354"/>
      <c r="E19" s="44" t="s">
        <v>2</v>
      </c>
      <c r="F19" s="44" t="s">
        <v>3</v>
      </c>
      <c r="G19" s="44" t="s">
        <v>54</v>
      </c>
      <c r="H19" s="44" t="s">
        <v>1</v>
      </c>
      <c r="I19" s="44" t="s">
        <v>13</v>
      </c>
      <c r="J19" s="45" t="s">
        <v>216</v>
      </c>
      <c r="K19" s="44" t="s">
        <v>2</v>
      </c>
      <c r="L19" s="44" t="s">
        <v>3</v>
      </c>
      <c r="M19" s="44" t="s">
        <v>54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54</v>
      </c>
      <c r="S19" s="44" t="s">
        <v>1</v>
      </c>
      <c r="T19" s="44" t="s">
        <v>13</v>
      </c>
      <c r="U19" s="355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331" t="s">
        <v>115</v>
      </c>
      <c r="B22" s="332"/>
      <c r="C22" s="333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819</v>
      </c>
    </row>
    <row r="2" spans="1:45" ht="18.75" x14ac:dyDescent="0.3">
      <c r="J2" s="191"/>
      <c r="K2" s="390"/>
      <c r="L2" s="390"/>
      <c r="M2" s="390"/>
      <c r="N2" s="390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854</v>
      </c>
    </row>
    <row r="4" spans="1:45" s="8" customFormat="1" ht="18.75" x14ac:dyDescent="0.3">
      <c r="A4" s="325" t="s">
        <v>847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5"/>
      <c r="AB4" s="325"/>
      <c r="AC4" s="325"/>
      <c r="AD4" s="325"/>
      <c r="AE4" s="325"/>
      <c r="AF4" s="325"/>
      <c r="AG4" s="325"/>
      <c r="AH4" s="325"/>
      <c r="AI4" s="325"/>
      <c r="AJ4" s="325"/>
      <c r="AK4" s="325"/>
      <c r="AL4" s="325"/>
      <c r="AM4" s="325"/>
      <c r="AN4" s="325"/>
      <c r="AO4" s="325"/>
      <c r="AP4" s="325"/>
      <c r="AQ4" s="325"/>
      <c r="AR4" s="325"/>
      <c r="AS4" s="325"/>
    </row>
    <row r="5" spans="1:45" s="8" customFormat="1" ht="18.75" customHeight="1" x14ac:dyDescent="0.3">
      <c r="A5" s="318" t="s">
        <v>65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  <c r="Z5" s="318"/>
      <c r="AA5" s="318"/>
      <c r="AB5" s="318"/>
      <c r="AC5" s="318"/>
      <c r="AD5" s="318"/>
      <c r="AE5" s="318"/>
      <c r="AF5" s="318"/>
      <c r="AG5" s="318"/>
      <c r="AH5" s="318"/>
      <c r="AI5" s="318"/>
      <c r="AJ5" s="318"/>
      <c r="AK5" s="318"/>
      <c r="AL5" s="318"/>
      <c r="AM5" s="318"/>
      <c r="AN5" s="318"/>
      <c r="AO5" s="318"/>
      <c r="AP5" s="318"/>
      <c r="AQ5" s="318"/>
      <c r="AR5" s="318"/>
      <c r="AS5" s="318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318" t="s">
        <v>858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8"/>
      <c r="T7" s="318"/>
      <c r="U7" s="318"/>
      <c r="V7" s="318"/>
      <c r="W7" s="318"/>
      <c r="X7" s="318"/>
      <c r="Y7" s="318"/>
      <c r="Z7" s="318"/>
      <c r="AA7" s="318"/>
      <c r="AB7" s="318"/>
      <c r="AC7" s="318"/>
      <c r="AD7" s="318"/>
      <c r="AE7" s="318"/>
      <c r="AF7" s="318"/>
      <c r="AG7" s="318"/>
      <c r="AH7" s="318"/>
      <c r="AI7" s="318"/>
      <c r="AJ7" s="318"/>
      <c r="AK7" s="318"/>
      <c r="AL7" s="318"/>
      <c r="AM7" s="318"/>
      <c r="AN7" s="318"/>
      <c r="AO7" s="318"/>
      <c r="AP7" s="318"/>
      <c r="AQ7" s="318"/>
      <c r="AR7" s="318"/>
      <c r="AS7" s="318"/>
    </row>
    <row r="8" spans="1:45" s="5" customFormat="1" ht="15.75" x14ac:dyDescent="0.25">
      <c r="A8" s="321" t="s">
        <v>865</v>
      </c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  <c r="N8" s="321"/>
      <c r="O8" s="321"/>
      <c r="P8" s="321"/>
      <c r="Q8" s="321"/>
      <c r="R8" s="321"/>
      <c r="S8" s="321"/>
      <c r="T8" s="321"/>
      <c r="U8" s="321"/>
      <c r="V8" s="321"/>
      <c r="W8" s="321"/>
      <c r="X8" s="321"/>
      <c r="Y8" s="321"/>
      <c r="Z8" s="321"/>
      <c r="AA8" s="321"/>
      <c r="AB8" s="321"/>
      <c r="AC8" s="321"/>
      <c r="AD8" s="321"/>
      <c r="AE8" s="321"/>
      <c r="AF8" s="321"/>
      <c r="AG8" s="321"/>
      <c r="AH8" s="321"/>
      <c r="AI8" s="321"/>
      <c r="AJ8" s="321"/>
      <c r="AK8" s="321"/>
      <c r="AL8" s="321"/>
      <c r="AM8" s="321"/>
      <c r="AN8" s="321"/>
      <c r="AO8" s="321"/>
      <c r="AP8" s="321"/>
      <c r="AQ8" s="321"/>
      <c r="AR8" s="321"/>
      <c r="AS8" s="321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319" t="s">
        <v>21</v>
      </c>
      <c r="B10" s="319"/>
      <c r="C10" s="319"/>
      <c r="D10" s="319"/>
      <c r="E10" s="319"/>
      <c r="F10" s="319"/>
      <c r="G10" s="319"/>
      <c r="H10" s="319"/>
      <c r="I10" s="319"/>
      <c r="J10" s="319"/>
      <c r="K10" s="319"/>
      <c r="L10" s="319"/>
      <c r="M10" s="319"/>
      <c r="N10" s="319"/>
      <c r="O10" s="319"/>
      <c r="P10" s="319"/>
      <c r="Q10" s="319"/>
      <c r="R10" s="319"/>
      <c r="S10" s="319"/>
      <c r="T10" s="319"/>
      <c r="U10" s="319"/>
      <c r="V10" s="319"/>
      <c r="W10" s="319"/>
      <c r="X10" s="319"/>
      <c r="Y10" s="319"/>
      <c r="Z10" s="319"/>
      <c r="AA10" s="319"/>
      <c r="AB10" s="319"/>
      <c r="AC10" s="319"/>
      <c r="AD10" s="319"/>
      <c r="AE10" s="319"/>
      <c r="AF10" s="319"/>
      <c r="AG10" s="319"/>
      <c r="AH10" s="319"/>
      <c r="AI10" s="319"/>
      <c r="AJ10" s="319"/>
      <c r="AK10" s="319"/>
      <c r="AL10" s="319"/>
      <c r="AM10" s="319"/>
      <c r="AN10" s="319"/>
      <c r="AO10" s="319"/>
      <c r="AP10" s="319"/>
      <c r="AQ10" s="319"/>
      <c r="AR10" s="319"/>
      <c r="AS10" s="319"/>
    </row>
    <row r="11" spans="1:45" s="5" customFormat="1" ht="18.75" x14ac:dyDescent="0.3">
      <c r="AA11" s="29"/>
    </row>
    <row r="12" spans="1:45" s="5" customFormat="1" ht="18.75" x14ac:dyDescent="0.25">
      <c r="A12" s="314" t="s">
        <v>55</v>
      </c>
      <c r="B12" s="314"/>
      <c r="C12" s="314"/>
      <c r="D12" s="314"/>
      <c r="E12" s="314"/>
      <c r="F12" s="314"/>
      <c r="G12" s="314"/>
      <c r="H12" s="314"/>
      <c r="I12" s="314"/>
      <c r="J12" s="314"/>
      <c r="K12" s="314"/>
      <c r="L12" s="314"/>
      <c r="M12" s="314"/>
      <c r="N12" s="314"/>
      <c r="O12" s="314"/>
      <c r="P12" s="314"/>
      <c r="Q12" s="314"/>
      <c r="R12" s="314"/>
      <c r="S12" s="314"/>
      <c r="T12" s="314"/>
      <c r="U12" s="314"/>
      <c r="V12" s="314"/>
      <c r="W12" s="314"/>
      <c r="X12" s="314"/>
      <c r="Y12" s="314"/>
      <c r="Z12" s="314"/>
      <c r="AA12" s="314"/>
      <c r="AB12" s="314"/>
      <c r="AC12" s="314"/>
      <c r="AD12" s="314"/>
      <c r="AE12" s="314"/>
      <c r="AF12" s="314"/>
      <c r="AG12" s="314"/>
      <c r="AH12" s="314"/>
      <c r="AI12" s="314"/>
      <c r="AJ12" s="314"/>
      <c r="AK12" s="314"/>
      <c r="AL12" s="314"/>
      <c r="AM12" s="314"/>
      <c r="AN12" s="314"/>
      <c r="AO12" s="314"/>
      <c r="AP12" s="314"/>
      <c r="AQ12" s="314"/>
      <c r="AR12" s="314"/>
      <c r="AS12" s="314"/>
    </row>
    <row r="13" spans="1:45" s="5" customFormat="1" ht="15.75" x14ac:dyDescent="0.25">
      <c r="A13" s="321" t="s">
        <v>864</v>
      </c>
      <c r="B13" s="321"/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1"/>
      <c r="AO13" s="321"/>
      <c r="AP13" s="321"/>
      <c r="AQ13" s="321"/>
      <c r="AR13" s="321"/>
      <c r="AS13" s="321"/>
    </row>
    <row r="14" spans="1:45" s="140" customFormat="1" ht="15.75" customHeight="1" x14ac:dyDescent="0.2">
      <c r="A14" s="388"/>
      <c r="B14" s="388"/>
      <c r="C14" s="388"/>
      <c r="D14" s="388"/>
      <c r="E14" s="388"/>
      <c r="F14" s="388"/>
      <c r="G14" s="388"/>
      <c r="H14" s="388"/>
      <c r="I14" s="388"/>
      <c r="J14" s="388"/>
      <c r="K14" s="388"/>
      <c r="L14" s="388"/>
      <c r="M14" s="388"/>
      <c r="N14" s="388"/>
      <c r="O14" s="388"/>
      <c r="P14" s="388"/>
      <c r="Q14" s="388"/>
      <c r="R14" s="388"/>
      <c r="S14" s="388"/>
      <c r="T14" s="388"/>
      <c r="U14" s="388"/>
      <c r="V14" s="388"/>
      <c r="W14" s="388"/>
      <c r="X14" s="388"/>
      <c r="Y14" s="388"/>
      <c r="Z14" s="388"/>
      <c r="AA14" s="388"/>
      <c r="AB14" s="388"/>
      <c r="AC14" s="388"/>
      <c r="AD14" s="388"/>
      <c r="AE14" s="388"/>
      <c r="AF14" s="388"/>
      <c r="AG14" s="388"/>
      <c r="AH14" s="388"/>
      <c r="AI14" s="388"/>
      <c r="AJ14" s="388"/>
      <c r="AK14" s="388"/>
      <c r="AL14" s="388"/>
      <c r="AM14" s="388"/>
      <c r="AN14" s="388"/>
      <c r="AO14" s="388"/>
      <c r="AP14" s="388"/>
      <c r="AQ14" s="388"/>
      <c r="AR14" s="388"/>
      <c r="AS14" s="388"/>
    </row>
    <row r="15" spans="1:45" s="141" customFormat="1" ht="63" customHeight="1" x14ac:dyDescent="0.25">
      <c r="A15" s="389" t="s">
        <v>66</v>
      </c>
      <c r="B15" s="387" t="s">
        <v>19</v>
      </c>
      <c r="C15" s="387" t="s">
        <v>5</v>
      </c>
      <c r="D15" s="387" t="s">
        <v>852</v>
      </c>
      <c r="E15" s="387"/>
      <c r="F15" s="387"/>
      <c r="G15" s="387"/>
      <c r="H15" s="387"/>
      <c r="I15" s="387"/>
      <c r="J15" s="387"/>
      <c r="K15" s="387"/>
      <c r="L15" s="387"/>
      <c r="M15" s="387"/>
      <c r="N15" s="387"/>
      <c r="O15" s="387"/>
      <c r="P15" s="387"/>
      <c r="Q15" s="387"/>
      <c r="R15" s="387"/>
      <c r="S15" s="387"/>
      <c r="T15" s="387"/>
      <c r="U15" s="387"/>
      <c r="V15" s="387"/>
      <c r="W15" s="387"/>
      <c r="X15" s="387"/>
      <c r="Y15" s="387"/>
      <c r="Z15" s="387"/>
      <c r="AA15" s="387"/>
      <c r="AB15" s="387"/>
      <c r="AC15" s="387"/>
      <c r="AD15" s="387"/>
      <c r="AE15" s="387"/>
      <c r="AF15" s="387"/>
      <c r="AG15" s="387"/>
      <c r="AH15" s="387"/>
      <c r="AI15" s="387"/>
      <c r="AJ15" s="387"/>
      <c r="AK15" s="387"/>
      <c r="AL15" s="387"/>
      <c r="AM15" s="387"/>
      <c r="AN15" s="387"/>
      <c r="AO15" s="387"/>
      <c r="AP15" s="387"/>
      <c r="AQ15" s="387"/>
      <c r="AR15" s="387"/>
      <c r="AS15" s="387"/>
    </row>
    <row r="16" spans="1:45" ht="87.75" customHeight="1" x14ac:dyDescent="0.2">
      <c r="A16" s="389"/>
      <c r="B16" s="387"/>
      <c r="C16" s="387"/>
      <c r="D16" s="387" t="s">
        <v>823</v>
      </c>
      <c r="E16" s="387"/>
      <c r="F16" s="387"/>
      <c r="G16" s="387"/>
      <c r="H16" s="387"/>
      <c r="I16" s="387"/>
      <c r="J16" s="387" t="s">
        <v>824</v>
      </c>
      <c r="K16" s="387"/>
      <c r="L16" s="387"/>
      <c r="M16" s="387"/>
      <c r="N16" s="387"/>
      <c r="O16" s="387"/>
      <c r="P16" s="387" t="s">
        <v>825</v>
      </c>
      <c r="Q16" s="387"/>
      <c r="R16" s="387"/>
      <c r="S16" s="387"/>
      <c r="T16" s="387"/>
      <c r="U16" s="387"/>
      <c r="V16" s="387" t="s">
        <v>826</v>
      </c>
      <c r="W16" s="387"/>
      <c r="X16" s="387"/>
      <c r="Y16" s="387"/>
      <c r="Z16" s="387"/>
      <c r="AA16" s="387"/>
      <c r="AB16" s="387" t="s">
        <v>827</v>
      </c>
      <c r="AC16" s="387"/>
      <c r="AD16" s="387"/>
      <c r="AE16" s="387"/>
      <c r="AF16" s="387"/>
      <c r="AG16" s="387"/>
      <c r="AH16" s="387" t="s">
        <v>828</v>
      </c>
      <c r="AI16" s="387"/>
      <c r="AJ16" s="387"/>
      <c r="AK16" s="387"/>
      <c r="AL16" s="387"/>
      <c r="AM16" s="387"/>
      <c r="AN16" s="387" t="s">
        <v>829</v>
      </c>
      <c r="AO16" s="387"/>
      <c r="AP16" s="387"/>
      <c r="AQ16" s="387"/>
      <c r="AR16" s="387"/>
      <c r="AS16" s="387"/>
    </row>
    <row r="17" spans="1:45" s="142" customFormat="1" ht="108.75" customHeight="1" x14ac:dyDescent="0.2">
      <c r="A17" s="389"/>
      <c r="B17" s="387"/>
      <c r="C17" s="387"/>
      <c r="D17" s="386" t="s">
        <v>830</v>
      </c>
      <c r="E17" s="386"/>
      <c r="F17" s="386" t="s">
        <v>830</v>
      </c>
      <c r="G17" s="386"/>
      <c r="H17" s="386" t="s">
        <v>831</v>
      </c>
      <c r="I17" s="386"/>
      <c r="J17" s="386" t="s">
        <v>830</v>
      </c>
      <c r="K17" s="386"/>
      <c r="L17" s="386" t="s">
        <v>830</v>
      </c>
      <c r="M17" s="386"/>
      <c r="N17" s="386" t="s">
        <v>831</v>
      </c>
      <c r="O17" s="386"/>
      <c r="P17" s="386" t="s">
        <v>830</v>
      </c>
      <c r="Q17" s="386"/>
      <c r="R17" s="386" t="s">
        <v>830</v>
      </c>
      <c r="S17" s="386"/>
      <c r="T17" s="386" t="s">
        <v>831</v>
      </c>
      <c r="U17" s="386"/>
      <c r="V17" s="386" t="s">
        <v>830</v>
      </c>
      <c r="W17" s="386"/>
      <c r="X17" s="386" t="s">
        <v>830</v>
      </c>
      <c r="Y17" s="386"/>
      <c r="Z17" s="386" t="s">
        <v>831</v>
      </c>
      <c r="AA17" s="386"/>
      <c r="AB17" s="386" t="s">
        <v>830</v>
      </c>
      <c r="AC17" s="386"/>
      <c r="AD17" s="386" t="s">
        <v>830</v>
      </c>
      <c r="AE17" s="386"/>
      <c r="AF17" s="386" t="s">
        <v>831</v>
      </c>
      <c r="AG17" s="386"/>
      <c r="AH17" s="386" t="s">
        <v>830</v>
      </c>
      <c r="AI17" s="386"/>
      <c r="AJ17" s="386" t="s">
        <v>830</v>
      </c>
      <c r="AK17" s="386"/>
      <c r="AL17" s="386" t="s">
        <v>831</v>
      </c>
      <c r="AM17" s="386"/>
      <c r="AN17" s="386" t="s">
        <v>830</v>
      </c>
      <c r="AO17" s="386"/>
      <c r="AP17" s="386" t="s">
        <v>830</v>
      </c>
      <c r="AQ17" s="386"/>
      <c r="AR17" s="386" t="s">
        <v>831</v>
      </c>
      <c r="AS17" s="386"/>
    </row>
    <row r="18" spans="1:45" ht="36" customHeight="1" x14ac:dyDescent="0.2">
      <c r="A18" s="389"/>
      <c r="B18" s="387"/>
      <c r="C18" s="387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28</v>
      </c>
      <c r="E19" s="193" t="s">
        <v>29</v>
      </c>
      <c r="F19" s="193" t="s">
        <v>832</v>
      </c>
      <c r="G19" s="193" t="s">
        <v>833</v>
      </c>
      <c r="H19" s="193" t="s">
        <v>834</v>
      </c>
      <c r="I19" s="193" t="s">
        <v>834</v>
      </c>
      <c r="J19" s="193" t="s">
        <v>30</v>
      </c>
      <c r="K19" s="193" t="s">
        <v>31</v>
      </c>
      <c r="L19" s="193" t="s">
        <v>32</v>
      </c>
      <c r="M19" s="193" t="s">
        <v>33</v>
      </c>
      <c r="N19" s="193" t="s">
        <v>835</v>
      </c>
      <c r="O19" s="193" t="s">
        <v>835</v>
      </c>
      <c r="P19" s="193" t="s">
        <v>34</v>
      </c>
      <c r="Q19" s="193" t="s">
        <v>35</v>
      </c>
      <c r="R19" s="193" t="s">
        <v>36</v>
      </c>
      <c r="S19" s="193" t="s">
        <v>37</v>
      </c>
      <c r="T19" s="193" t="s">
        <v>836</v>
      </c>
      <c r="U19" s="193" t="s">
        <v>836</v>
      </c>
      <c r="V19" s="193" t="s">
        <v>38</v>
      </c>
      <c r="W19" s="193" t="s">
        <v>39</v>
      </c>
      <c r="X19" s="193" t="s">
        <v>40</v>
      </c>
      <c r="Y19" s="193" t="s">
        <v>41</v>
      </c>
      <c r="Z19" s="193" t="s">
        <v>837</v>
      </c>
      <c r="AA19" s="193" t="s">
        <v>837</v>
      </c>
      <c r="AB19" s="193" t="s">
        <v>42</v>
      </c>
      <c r="AC19" s="193" t="s">
        <v>43</v>
      </c>
      <c r="AD19" s="193" t="s">
        <v>44</v>
      </c>
      <c r="AE19" s="193" t="s">
        <v>45</v>
      </c>
      <c r="AF19" s="193" t="s">
        <v>838</v>
      </c>
      <c r="AG19" s="193" t="s">
        <v>838</v>
      </c>
      <c r="AH19" s="193" t="s">
        <v>46</v>
      </c>
      <c r="AI19" s="193" t="s">
        <v>47</v>
      </c>
      <c r="AJ19" s="193" t="s">
        <v>48</v>
      </c>
      <c r="AK19" s="193" t="s">
        <v>49</v>
      </c>
      <c r="AL19" s="193" t="s">
        <v>839</v>
      </c>
      <c r="AM19" s="193" t="s">
        <v>839</v>
      </c>
      <c r="AN19" s="193" t="s">
        <v>50</v>
      </c>
      <c r="AO19" s="193" t="s">
        <v>51</v>
      </c>
      <c r="AP19" s="193" t="s">
        <v>52</v>
      </c>
      <c r="AQ19" s="193" t="s">
        <v>53</v>
      </c>
      <c r="AR19" s="193" t="s">
        <v>840</v>
      </c>
      <c r="AS19" s="193" t="s">
        <v>840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841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854</v>
      </c>
    </row>
    <row r="4" spans="1:19" s="23" customFormat="1" ht="59.25" customHeight="1" x14ac:dyDescent="0.25">
      <c r="B4" s="384" t="s">
        <v>848</v>
      </c>
      <c r="C4" s="384"/>
      <c r="D4" s="384"/>
      <c r="E4" s="384"/>
      <c r="F4" s="384"/>
      <c r="G4" s="384"/>
      <c r="H4" s="384"/>
      <c r="I4" s="384"/>
      <c r="J4" s="384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318" t="s">
        <v>65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318" t="s">
        <v>851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159"/>
      <c r="O7" s="159"/>
      <c r="P7" s="159"/>
      <c r="Q7" s="159"/>
      <c r="R7" s="159"/>
    </row>
    <row r="8" spans="1:19" s="5" customFormat="1" ht="15.75" customHeight="1" x14ac:dyDescent="0.25">
      <c r="A8" s="385" t="s">
        <v>72</v>
      </c>
      <c r="B8" s="385"/>
      <c r="C8" s="385"/>
      <c r="D8" s="385"/>
      <c r="E8" s="385"/>
      <c r="F8" s="385"/>
      <c r="G8" s="385"/>
      <c r="H8" s="385"/>
      <c r="I8" s="385"/>
      <c r="J8" s="385"/>
      <c r="K8" s="385"/>
      <c r="L8" s="385"/>
      <c r="M8" s="385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319" t="s">
        <v>21</v>
      </c>
      <c r="B10" s="319"/>
      <c r="C10" s="319"/>
      <c r="D10" s="319"/>
      <c r="E10" s="319"/>
      <c r="F10" s="319"/>
      <c r="G10" s="319"/>
      <c r="H10" s="319"/>
      <c r="I10" s="319"/>
      <c r="J10" s="319"/>
      <c r="K10" s="319"/>
      <c r="L10" s="319"/>
      <c r="M10" s="319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314" t="s">
        <v>55</v>
      </c>
      <c r="B12" s="314"/>
      <c r="C12" s="314"/>
      <c r="D12" s="314"/>
      <c r="E12" s="314"/>
      <c r="F12" s="314"/>
      <c r="G12" s="314"/>
      <c r="H12" s="314"/>
      <c r="I12" s="314"/>
      <c r="J12" s="314"/>
      <c r="K12" s="314"/>
      <c r="L12" s="314"/>
      <c r="M12" s="314"/>
      <c r="N12" s="19"/>
      <c r="O12" s="169"/>
      <c r="P12" s="169"/>
      <c r="Q12" s="169"/>
      <c r="R12" s="169"/>
    </row>
    <row r="13" spans="1:19" s="5" customFormat="1" x14ac:dyDescent="0.25">
      <c r="A13" s="321" t="s">
        <v>117</v>
      </c>
      <c r="B13" s="321"/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25"/>
      <c r="O13" s="25"/>
      <c r="P13" s="25"/>
      <c r="Q13" s="25"/>
      <c r="R13" s="25"/>
    </row>
    <row r="14" spans="1:19" s="17" customFormat="1" x14ac:dyDescent="0.2">
      <c r="A14" s="393"/>
      <c r="B14" s="393"/>
      <c r="C14" s="393"/>
      <c r="D14" s="393"/>
      <c r="E14" s="393"/>
      <c r="F14" s="393"/>
      <c r="G14" s="393"/>
      <c r="H14" s="393"/>
      <c r="I14" s="393"/>
      <c r="J14" s="393"/>
      <c r="K14" s="393"/>
      <c r="L14" s="393"/>
      <c r="M14" s="393"/>
    </row>
    <row r="15" spans="1:19" s="35" customFormat="1" ht="90" customHeight="1" x14ac:dyDescent="0.2">
      <c r="A15" s="389" t="s">
        <v>66</v>
      </c>
      <c r="B15" s="389" t="s">
        <v>19</v>
      </c>
      <c r="C15" s="389" t="s">
        <v>5</v>
      </c>
      <c r="D15" s="392" t="s">
        <v>821</v>
      </c>
      <c r="E15" s="392" t="s">
        <v>820</v>
      </c>
      <c r="F15" s="392" t="s">
        <v>25</v>
      </c>
      <c r="G15" s="392"/>
      <c r="H15" s="392" t="s">
        <v>217</v>
      </c>
      <c r="I15" s="392"/>
      <c r="J15" s="392" t="s">
        <v>26</v>
      </c>
      <c r="K15" s="392"/>
      <c r="L15" s="392" t="s">
        <v>866</v>
      </c>
      <c r="M15" s="392"/>
    </row>
    <row r="16" spans="1:19" s="35" customFormat="1" ht="43.5" customHeight="1" x14ac:dyDescent="0.2">
      <c r="A16" s="389"/>
      <c r="B16" s="389"/>
      <c r="C16" s="389"/>
      <c r="D16" s="392"/>
      <c r="E16" s="392"/>
      <c r="F16" s="36" t="s">
        <v>219</v>
      </c>
      <c r="G16" s="36" t="s">
        <v>218</v>
      </c>
      <c r="H16" s="36" t="s">
        <v>220</v>
      </c>
      <c r="I16" s="36" t="s">
        <v>221</v>
      </c>
      <c r="J16" s="36" t="s">
        <v>220</v>
      </c>
      <c r="K16" s="36" t="s">
        <v>221</v>
      </c>
      <c r="L16" s="36" t="s">
        <v>220</v>
      </c>
      <c r="M16" s="36" t="s">
        <v>221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94" t="s">
        <v>115</v>
      </c>
      <c r="B20" s="395"/>
      <c r="C20" s="396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91" t="s">
        <v>849</v>
      </c>
      <c r="B21" s="391"/>
      <c r="C21" s="391"/>
      <c r="D21" s="391"/>
      <c r="E21" s="391"/>
      <c r="F21" s="391"/>
      <c r="G21" s="391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842</v>
      </c>
    </row>
    <row r="2" spans="1:8" ht="18.75" x14ac:dyDescent="0.25">
      <c r="H2" s="51" t="s">
        <v>0</v>
      </c>
    </row>
    <row r="3" spans="1:8" ht="18.75" x14ac:dyDescent="0.3">
      <c r="H3" s="29" t="s">
        <v>854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99" t="s">
        <v>886</v>
      </c>
      <c r="B6" s="399"/>
      <c r="C6" s="399"/>
      <c r="D6" s="399"/>
      <c r="E6" s="399"/>
      <c r="F6" s="399"/>
      <c r="G6" s="399"/>
      <c r="H6" s="399"/>
    </row>
    <row r="7" spans="1:8" ht="41.25" customHeight="1" x14ac:dyDescent="0.25">
      <c r="A7" s="400"/>
      <c r="B7" s="400"/>
      <c r="C7" s="400"/>
      <c r="D7" s="400"/>
      <c r="E7" s="400"/>
      <c r="F7" s="400"/>
      <c r="G7" s="400"/>
      <c r="H7" s="400"/>
    </row>
    <row r="9" spans="1:8" ht="18.75" x14ac:dyDescent="0.25">
      <c r="A9" s="401" t="s">
        <v>223</v>
      </c>
      <c r="B9" s="401"/>
    </row>
    <row r="10" spans="1:8" x14ac:dyDescent="0.25">
      <c r="B10" s="52" t="s">
        <v>114</v>
      </c>
    </row>
    <row r="11" spans="1:8" ht="18.75" x14ac:dyDescent="0.25">
      <c r="B11" s="53" t="s">
        <v>224</v>
      </c>
    </row>
    <row r="12" spans="1:8" ht="18.75" x14ac:dyDescent="0.25">
      <c r="A12" s="402" t="s">
        <v>225</v>
      </c>
      <c r="B12" s="402"/>
    </row>
    <row r="13" spans="1:8" ht="18.75" x14ac:dyDescent="0.25">
      <c r="B13" s="53"/>
    </row>
    <row r="14" spans="1:8" ht="18.75" x14ac:dyDescent="0.25">
      <c r="A14" s="403" t="s">
        <v>853</v>
      </c>
      <c r="B14" s="403"/>
    </row>
    <row r="15" spans="1:8" x14ac:dyDescent="0.25">
      <c r="A15" s="404" t="s">
        <v>226</v>
      </c>
      <c r="B15" s="404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97" t="s">
        <v>227</v>
      </c>
      <c r="B18" s="397"/>
      <c r="C18" s="397"/>
      <c r="D18" s="397"/>
      <c r="E18" s="397"/>
      <c r="F18" s="397"/>
      <c r="G18" s="397"/>
      <c r="H18" s="397"/>
    </row>
    <row r="19" spans="1:9" ht="63" customHeight="1" x14ac:dyDescent="0.25">
      <c r="A19" s="409" t="s">
        <v>118</v>
      </c>
      <c r="B19" s="405" t="s">
        <v>119</v>
      </c>
      <c r="C19" s="407" t="s">
        <v>228</v>
      </c>
      <c r="D19" s="412" t="s">
        <v>806</v>
      </c>
      <c r="E19" s="413"/>
      <c r="F19" s="414" t="s">
        <v>822</v>
      </c>
      <c r="G19" s="413"/>
      <c r="H19" s="415" t="s">
        <v>7</v>
      </c>
    </row>
    <row r="20" spans="1:9" ht="38.25" x14ac:dyDescent="0.25">
      <c r="A20" s="410"/>
      <c r="B20" s="406"/>
      <c r="C20" s="408"/>
      <c r="D20" s="201" t="s">
        <v>810</v>
      </c>
      <c r="E20" s="202" t="s">
        <v>10</v>
      </c>
      <c r="F20" s="202" t="s">
        <v>811</v>
      </c>
      <c r="G20" s="201" t="s">
        <v>809</v>
      </c>
      <c r="H20" s="416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807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420" t="s">
        <v>229</v>
      </c>
      <c r="B22" s="421"/>
      <c r="C22" s="421"/>
      <c r="D22" s="421"/>
      <c r="E22" s="421"/>
      <c r="F22" s="421"/>
      <c r="G22" s="421"/>
      <c r="H22" s="422"/>
      <c r="I22" s="50"/>
    </row>
    <row r="23" spans="1:9" s="55" customFormat="1" x14ac:dyDescent="0.25">
      <c r="A23" s="56" t="s">
        <v>120</v>
      </c>
      <c r="B23" s="57" t="s">
        <v>230</v>
      </c>
      <c r="C23" s="58" t="s">
        <v>884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121</v>
      </c>
      <c r="B24" s="63" t="s">
        <v>231</v>
      </c>
      <c r="C24" s="64" t="s">
        <v>884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123</v>
      </c>
      <c r="B25" s="68" t="s">
        <v>232</v>
      </c>
      <c r="C25" s="64" t="s">
        <v>884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136</v>
      </c>
      <c r="B26" s="68" t="s">
        <v>233</v>
      </c>
      <c r="C26" s="64" t="s">
        <v>884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137</v>
      </c>
      <c r="B27" s="68" t="s">
        <v>234</v>
      </c>
      <c r="C27" s="64" t="s">
        <v>884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139</v>
      </c>
      <c r="B28" s="63" t="s">
        <v>235</v>
      </c>
      <c r="C28" s="64" t="s">
        <v>884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162</v>
      </c>
      <c r="B29" s="63" t="s">
        <v>236</v>
      </c>
      <c r="C29" s="64" t="s">
        <v>884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163</v>
      </c>
      <c r="B30" s="63" t="s">
        <v>237</v>
      </c>
      <c r="C30" s="64" t="s">
        <v>884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238</v>
      </c>
      <c r="B31" s="63" t="s">
        <v>239</v>
      </c>
      <c r="C31" s="64" t="s">
        <v>884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240</v>
      </c>
      <c r="B32" s="63" t="s">
        <v>241</v>
      </c>
      <c r="C32" s="64" t="s">
        <v>884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242</v>
      </c>
      <c r="B33" s="63" t="s">
        <v>243</v>
      </c>
      <c r="C33" s="64" t="s">
        <v>884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244</v>
      </c>
      <c r="B34" s="68" t="s">
        <v>245</v>
      </c>
      <c r="C34" s="64" t="s">
        <v>884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246</v>
      </c>
      <c r="B35" s="69" t="s">
        <v>134</v>
      </c>
      <c r="C35" s="64" t="s">
        <v>884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247</v>
      </c>
      <c r="B36" s="69" t="s">
        <v>135</v>
      </c>
      <c r="C36" s="64" t="s">
        <v>884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248</v>
      </c>
      <c r="B37" s="63" t="s">
        <v>249</v>
      </c>
      <c r="C37" s="64" t="s">
        <v>884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167</v>
      </c>
      <c r="B38" s="57" t="s">
        <v>250</v>
      </c>
      <c r="C38" s="64" t="s">
        <v>884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169</v>
      </c>
      <c r="B39" s="63" t="s">
        <v>231</v>
      </c>
      <c r="C39" s="64" t="s">
        <v>884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251</v>
      </c>
      <c r="B40" s="70" t="s">
        <v>232</v>
      </c>
      <c r="C40" s="64" t="s">
        <v>884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252</v>
      </c>
      <c r="B41" s="70" t="s">
        <v>233</v>
      </c>
      <c r="C41" s="64" t="s">
        <v>884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253</v>
      </c>
      <c r="B42" s="70" t="s">
        <v>234</v>
      </c>
      <c r="C42" s="64" t="s">
        <v>884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171</v>
      </c>
      <c r="B43" s="63" t="s">
        <v>235</v>
      </c>
      <c r="C43" s="64" t="s">
        <v>884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173</v>
      </c>
      <c r="B44" s="63" t="s">
        <v>236</v>
      </c>
      <c r="C44" s="64" t="s">
        <v>884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174</v>
      </c>
      <c r="B45" s="63" t="s">
        <v>237</v>
      </c>
      <c r="C45" s="64" t="s">
        <v>884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176</v>
      </c>
      <c r="B46" s="63" t="s">
        <v>239</v>
      </c>
      <c r="C46" s="64" t="s">
        <v>884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186</v>
      </c>
      <c r="B47" s="63" t="s">
        <v>241</v>
      </c>
      <c r="C47" s="64" t="s">
        <v>884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188</v>
      </c>
      <c r="B48" s="63" t="s">
        <v>243</v>
      </c>
      <c r="C48" s="64" t="s">
        <v>884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254</v>
      </c>
      <c r="B49" s="68" t="s">
        <v>245</v>
      </c>
      <c r="C49" s="64" t="s">
        <v>884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255</v>
      </c>
      <c r="B50" s="70" t="s">
        <v>134</v>
      </c>
      <c r="C50" s="64" t="s">
        <v>884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256</v>
      </c>
      <c r="B51" s="70" t="s">
        <v>135</v>
      </c>
      <c r="C51" s="64" t="s">
        <v>884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257</v>
      </c>
      <c r="B52" s="63" t="s">
        <v>249</v>
      </c>
      <c r="C52" s="64" t="s">
        <v>884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258</v>
      </c>
      <c r="B53" s="71" t="s">
        <v>259</v>
      </c>
      <c r="C53" s="64" t="s">
        <v>884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251</v>
      </c>
      <c r="B54" s="70" t="s">
        <v>260</v>
      </c>
      <c r="C54" s="64" t="s">
        <v>884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252</v>
      </c>
      <c r="B55" s="69" t="s">
        <v>261</v>
      </c>
      <c r="C55" s="64" t="s">
        <v>884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262</v>
      </c>
      <c r="B56" s="72" t="s">
        <v>263</v>
      </c>
      <c r="C56" s="64" t="s">
        <v>884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264</v>
      </c>
      <c r="B57" s="73" t="s">
        <v>265</v>
      </c>
      <c r="C57" s="64" t="s">
        <v>884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266</v>
      </c>
      <c r="B58" s="73" t="s">
        <v>267</v>
      </c>
      <c r="C58" s="64" t="s">
        <v>884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268</v>
      </c>
      <c r="B59" s="72" t="s">
        <v>269</v>
      </c>
      <c r="C59" s="64" t="s">
        <v>884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253</v>
      </c>
      <c r="B60" s="69" t="s">
        <v>270</v>
      </c>
      <c r="C60" s="64" t="s">
        <v>884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271</v>
      </c>
      <c r="B61" s="69" t="s">
        <v>272</v>
      </c>
      <c r="C61" s="64" t="s">
        <v>884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273</v>
      </c>
      <c r="B62" s="71" t="s">
        <v>274</v>
      </c>
      <c r="C62" s="64" t="s">
        <v>884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275</v>
      </c>
      <c r="B63" s="70" t="s">
        <v>276</v>
      </c>
      <c r="C63" s="64" t="s">
        <v>884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277</v>
      </c>
      <c r="B64" s="70" t="s">
        <v>278</v>
      </c>
      <c r="C64" s="64" t="s">
        <v>884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279</v>
      </c>
      <c r="B65" s="69" t="s">
        <v>280</v>
      </c>
      <c r="C65" s="64" t="s">
        <v>884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281</v>
      </c>
      <c r="B66" s="69" t="s">
        <v>282</v>
      </c>
      <c r="C66" s="64" t="s">
        <v>884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283</v>
      </c>
      <c r="B67" s="69" t="s">
        <v>284</v>
      </c>
      <c r="C67" s="64" t="s">
        <v>884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285</v>
      </c>
      <c r="B68" s="71" t="s">
        <v>286</v>
      </c>
      <c r="C68" s="64" t="s">
        <v>884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287</v>
      </c>
      <c r="B69" s="71" t="s">
        <v>288</v>
      </c>
      <c r="C69" s="64" t="s">
        <v>884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289</v>
      </c>
      <c r="B70" s="71" t="s">
        <v>290</v>
      </c>
      <c r="C70" s="64" t="s">
        <v>884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178</v>
      </c>
      <c r="B71" s="69" t="s">
        <v>291</v>
      </c>
      <c r="C71" s="64" t="s">
        <v>884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182</v>
      </c>
      <c r="B72" s="69" t="s">
        <v>292</v>
      </c>
      <c r="C72" s="64" t="s">
        <v>884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293</v>
      </c>
      <c r="B73" s="71" t="s">
        <v>294</v>
      </c>
      <c r="C73" s="64" t="s">
        <v>884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295</v>
      </c>
      <c r="B74" s="69" t="s">
        <v>296</v>
      </c>
      <c r="C74" s="64" t="s">
        <v>884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297</v>
      </c>
      <c r="B75" s="69" t="s">
        <v>298</v>
      </c>
      <c r="C75" s="64" t="s">
        <v>884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299</v>
      </c>
      <c r="B76" s="75" t="s">
        <v>300</v>
      </c>
      <c r="C76" s="76" t="s">
        <v>884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301</v>
      </c>
      <c r="B77" s="78" t="s">
        <v>302</v>
      </c>
      <c r="C77" s="58" t="s">
        <v>884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303</v>
      </c>
      <c r="B78" s="69" t="s">
        <v>304</v>
      </c>
      <c r="C78" s="64" t="s">
        <v>884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305</v>
      </c>
      <c r="B79" s="69" t="s">
        <v>306</v>
      </c>
      <c r="C79" s="64" t="s">
        <v>884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307</v>
      </c>
      <c r="B80" s="80" t="s">
        <v>308</v>
      </c>
      <c r="C80" s="81" t="s">
        <v>884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309</v>
      </c>
      <c r="B81" s="57" t="s">
        <v>310</v>
      </c>
      <c r="C81" s="84" t="s">
        <v>884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311</v>
      </c>
      <c r="B82" s="63" t="s">
        <v>231</v>
      </c>
      <c r="C82" s="64" t="s">
        <v>884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312</v>
      </c>
      <c r="B83" s="70" t="s">
        <v>232</v>
      </c>
      <c r="C83" s="64" t="s">
        <v>884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313</v>
      </c>
      <c r="B84" s="70" t="s">
        <v>233</v>
      </c>
      <c r="C84" s="64" t="s">
        <v>884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314</v>
      </c>
      <c r="B85" s="70" t="s">
        <v>234</v>
      </c>
      <c r="C85" s="64" t="s">
        <v>884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315</v>
      </c>
      <c r="B86" s="63" t="s">
        <v>235</v>
      </c>
      <c r="C86" s="64" t="s">
        <v>884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316</v>
      </c>
      <c r="B87" s="63" t="s">
        <v>236</v>
      </c>
      <c r="C87" s="64" t="s">
        <v>884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317</v>
      </c>
      <c r="B88" s="63" t="s">
        <v>237</v>
      </c>
      <c r="C88" s="64" t="s">
        <v>884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318</v>
      </c>
      <c r="B89" s="63" t="s">
        <v>239</v>
      </c>
      <c r="C89" s="64" t="s">
        <v>884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319</v>
      </c>
      <c r="B90" s="63" t="s">
        <v>241</v>
      </c>
      <c r="C90" s="64" t="s">
        <v>884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320</v>
      </c>
      <c r="B91" s="63" t="s">
        <v>243</v>
      </c>
      <c r="C91" s="64" t="s">
        <v>884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321</v>
      </c>
      <c r="B92" s="68" t="s">
        <v>245</v>
      </c>
      <c r="C92" s="64" t="s">
        <v>884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322</v>
      </c>
      <c r="B93" s="70" t="s">
        <v>134</v>
      </c>
      <c r="C93" s="64" t="s">
        <v>884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323</v>
      </c>
      <c r="B94" s="69" t="s">
        <v>135</v>
      </c>
      <c r="C94" s="64" t="s">
        <v>884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324</v>
      </c>
      <c r="B95" s="63" t="s">
        <v>249</v>
      </c>
      <c r="C95" s="64" t="s">
        <v>884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325</v>
      </c>
      <c r="B96" s="86" t="s">
        <v>326</v>
      </c>
      <c r="C96" s="64" t="s">
        <v>884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28</v>
      </c>
      <c r="B97" s="68" t="s">
        <v>327</v>
      </c>
      <c r="C97" s="64" t="s">
        <v>884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328</v>
      </c>
      <c r="B98" s="70" t="s">
        <v>329</v>
      </c>
      <c r="C98" s="64" t="s">
        <v>884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330</v>
      </c>
      <c r="B99" s="70" t="s">
        <v>331</v>
      </c>
      <c r="C99" s="64" t="s">
        <v>884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332</v>
      </c>
      <c r="B100" s="70" t="s">
        <v>333</v>
      </c>
      <c r="C100" s="64" t="s">
        <v>884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334</v>
      </c>
      <c r="B101" s="72" t="s">
        <v>335</v>
      </c>
      <c r="C101" s="64" t="s">
        <v>884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336</v>
      </c>
      <c r="B102" s="69" t="s">
        <v>337</v>
      </c>
      <c r="C102" s="64" t="s">
        <v>884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29</v>
      </c>
      <c r="B103" s="71" t="s">
        <v>294</v>
      </c>
      <c r="C103" s="64" t="s">
        <v>884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338</v>
      </c>
      <c r="B104" s="69" t="s">
        <v>339</v>
      </c>
      <c r="C104" s="64" t="s">
        <v>884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340</v>
      </c>
      <c r="B105" s="69" t="s">
        <v>341</v>
      </c>
      <c r="C105" s="64" t="s">
        <v>884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342</v>
      </c>
      <c r="B106" s="69" t="s">
        <v>343</v>
      </c>
      <c r="C106" s="64" t="s">
        <v>884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344</v>
      </c>
      <c r="B107" s="72" t="s">
        <v>345</v>
      </c>
      <c r="C107" s="64" t="s">
        <v>884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346</v>
      </c>
      <c r="B108" s="69" t="s">
        <v>347</v>
      </c>
      <c r="C108" s="64" t="s">
        <v>884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348</v>
      </c>
      <c r="B109" s="86" t="s">
        <v>349</v>
      </c>
      <c r="C109" s="64" t="s">
        <v>884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30</v>
      </c>
      <c r="B110" s="68" t="s">
        <v>350</v>
      </c>
      <c r="C110" s="64" t="s">
        <v>884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351</v>
      </c>
      <c r="B111" s="70" t="s">
        <v>232</v>
      </c>
      <c r="C111" s="64" t="s">
        <v>884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352</v>
      </c>
      <c r="B112" s="70" t="s">
        <v>233</v>
      </c>
      <c r="C112" s="64" t="s">
        <v>884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353</v>
      </c>
      <c r="B113" s="70" t="s">
        <v>234</v>
      </c>
      <c r="C113" s="64" t="s">
        <v>884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31</v>
      </c>
      <c r="B114" s="63" t="s">
        <v>235</v>
      </c>
      <c r="C114" s="64" t="s">
        <v>884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32</v>
      </c>
      <c r="B115" s="63" t="s">
        <v>236</v>
      </c>
      <c r="C115" s="64" t="s">
        <v>884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33</v>
      </c>
      <c r="B116" s="63" t="s">
        <v>237</v>
      </c>
      <c r="C116" s="64" t="s">
        <v>884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354</v>
      </c>
      <c r="B117" s="63" t="s">
        <v>239</v>
      </c>
      <c r="C117" s="64" t="s">
        <v>884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355</v>
      </c>
      <c r="B118" s="63" t="s">
        <v>241</v>
      </c>
      <c r="C118" s="64" t="s">
        <v>884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356</v>
      </c>
      <c r="B119" s="63" t="s">
        <v>243</v>
      </c>
      <c r="C119" s="64" t="s">
        <v>884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357</v>
      </c>
      <c r="B120" s="68" t="s">
        <v>245</v>
      </c>
      <c r="C120" s="64" t="s">
        <v>884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358</v>
      </c>
      <c r="B121" s="69" t="s">
        <v>134</v>
      </c>
      <c r="C121" s="64" t="s">
        <v>884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359</v>
      </c>
      <c r="B122" s="69" t="s">
        <v>135</v>
      </c>
      <c r="C122" s="64" t="s">
        <v>884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360</v>
      </c>
      <c r="B123" s="63" t="s">
        <v>249</v>
      </c>
      <c r="C123" s="64" t="s">
        <v>884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361</v>
      </c>
      <c r="B124" s="86" t="s">
        <v>362</v>
      </c>
      <c r="C124" s="64" t="s">
        <v>884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34</v>
      </c>
      <c r="B125" s="63" t="s">
        <v>231</v>
      </c>
      <c r="C125" s="64" t="s">
        <v>884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363</v>
      </c>
      <c r="B126" s="70" t="s">
        <v>232</v>
      </c>
      <c r="C126" s="64" t="s">
        <v>884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364</v>
      </c>
      <c r="B127" s="70" t="s">
        <v>233</v>
      </c>
      <c r="C127" s="64" t="s">
        <v>884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365</v>
      </c>
      <c r="B128" s="70" t="s">
        <v>234</v>
      </c>
      <c r="C128" s="64" t="s">
        <v>884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35</v>
      </c>
      <c r="B129" s="71" t="s">
        <v>366</v>
      </c>
      <c r="C129" s="64" t="s">
        <v>884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36</v>
      </c>
      <c r="B130" s="71" t="s">
        <v>367</v>
      </c>
      <c r="C130" s="64" t="s">
        <v>884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37</v>
      </c>
      <c r="B131" s="71" t="s">
        <v>368</v>
      </c>
      <c r="C131" s="64" t="s">
        <v>884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369</v>
      </c>
      <c r="B132" s="71" t="s">
        <v>370</v>
      </c>
      <c r="C132" s="64" t="s">
        <v>884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371</v>
      </c>
      <c r="B133" s="71" t="s">
        <v>372</v>
      </c>
      <c r="C133" s="64" t="s">
        <v>884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373</v>
      </c>
      <c r="B134" s="71" t="s">
        <v>374</v>
      </c>
      <c r="C134" s="64" t="s">
        <v>884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375</v>
      </c>
      <c r="B135" s="71" t="s">
        <v>245</v>
      </c>
      <c r="C135" s="64" t="s">
        <v>884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376</v>
      </c>
      <c r="B136" s="69" t="s">
        <v>377</v>
      </c>
      <c r="C136" s="64" t="s">
        <v>884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378</v>
      </c>
      <c r="B137" s="69" t="s">
        <v>135</v>
      </c>
      <c r="C137" s="64" t="s">
        <v>884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379</v>
      </c>
      <c r="B138" s="71" t="s">
        <v>380</v>
      </c>
      <c r="C138" s="64" t="s">
        <v>884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381</v>
      </c>
      <c r="B139" s="86" t="s">
        <v>382</v>
      </c>
      <c r="C139" s="64" t="s">
        <v>884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38</v>
      </c>
      <c r="B140" s="63" t="s">
        <v>231</v>
      </c>
      <c r="C140" s="64" t="s">
        <v>884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383</v>
      </c>
      <c r="B141" s="70" t="s">
        <v>232</v>
      </c>
      <c r="C141" s="64" t="s">
        <v>884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384</v>
      </c>
      <c r="B142" s="70" t="s">
        <v>233</v>
      </c>
      <c r="C142" s="64" t="s">
        <v>884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385</v>
      </c>
      <c r="B143" s="70" t="s">
        <v>234</v>
      </c>
      <c r="C143" s="64" t="s">
        <v>884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39</v>
      </c>
      <c r="B144" s="63" t="s">
        <v>235</v>
      </c>
      <c r="C144" s="64" t="s">
        <v>884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40</v>
      </c>
      <c r="B145" s="63" t="s">
        <v>236</v>
      </c>
      <c r="C145" s="64" t="s">
        <v>884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41</v>
      </c>
      <c r="B146" s="63" t="s">
        <v>237</v>
      </c>
      <c r="C146" s="64" t="s">
        <v>884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386</v>
      </c>
      <c r="B147" s="68" t="s">
        <v>239</v>
      </c>
      <c r="C147" s="64" t="s">
        <v>884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387</v>
      </c>
      <c r="B148" s="63" t="s">
        <v>241</v>
      </c>
      <c r="C148" s="64" t="s">
        <v>884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388</v>
      </c>
      <c r="B149" s="63" t="s">
        <v>243</v>
      </c>
      <c r="C149" s="64" t="s">
        <v>884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389</v>
      </c>
      <c r="B150" s="68" t="s">
        <v>245</v>
      </c>
      <c r="C150" s="64" t="s">
        <v>884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390</v>
      </c>
      <c r="B151" s="69" t="s">
        <v>134</v>
      </c>
      <c r="C151" s="64" t="s">
        <v>884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391</v>
      </c>
      <c r="B152" s="69" t="s">
        <v>135</v>
      </c>
      <c r="C152" s="64" t="s">
        <v>884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392</v>
      </c>
      <c r="B153" s="63" t="s">
        <v>249</v>
      </c>
      <c r="C153" s="64" t="s">
        <v>884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393</v>
      </c>
      <c r="B154" s="86" t="s">
        <v>394</v>
      </c>
      <c r="C154" s="64" t="s">
        <v>884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42</v>
      </c>
      <c r="B155" s="71" t="s">
        <v>395</v>
      </c>
      <c r="C155" s="64" t="s">
        <v>884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43</v>
      </c>
      <c r="B156" s="71" t="s">
        <v>396</v>
      </c>
      <c r="C156" s="64" t="s">
        <v>884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44</v>
      </c>
      <c r="B157" s="71" t="s">
        <v>397</v>
      </c>
      <c r="C157" s="64" t="s">
        <v>884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45</v>
      </c>
      <c r="B158" s="71" t="s">
        <v>398</v>
      </c>
      <c r="C158" s="81" t="s">
        <v>884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399</v>
      </c>
      <c r="B159" s="57" t="s">
        <v>302</v>
      </c>
      <c r="C159" s="58" t="s">
        <v>400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46</v>
      </c>
      <c r="B160" s="71" t="s">
        <v>401</v>
      </c>
      <c r="C160" s="64" t="s">
        <v>884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47</v>
      </c>
      <c r="B161" s="71" t="s">
        <v>402</v>
      </c>
      <c r="C161" s="64" t="s">
        <v>884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403</v>
      </c>
      <c r="B162" s="70" t="s">
        <v>404</v>
      </c>
      <c r="C162" s="64" t="s">
        <v>884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48</v>
      </c>
      <c r="B163" s="71" t="s">
        <v>405</v>
      </c>
      <c r="C163" s="64" t="s">
        <v>884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406</v>
      </c>
      <c r="B164" s="70" t="s">
        <v>407</v>
      </c>
      <c r="C164" s="64" t="s">
        <v>884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49</v>
      </c>
      <c r="B165" s="87" t="s">
        <v>408</v>
      </c>
      <c r="C165" s="81" t="s">
        <v>400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420" t="s">
        <v>409</v>
      </c>
      <c r="B166" s="421"/>
      <c r="C166" s="421"/>
      <c r="D166" s="421"/>
      <c r="E166" s="421"/>
      <c r="F166" s="421"/>
      <c r="G166" s="421"/>
      <c r="H166" s="422"/>
      <c r="I166" s="50"/>
    </row>
    <row r="167" spans="1:9" s="55" customFormat="1" x14ac:dyDescent="0.25">
      <c r="A167" s="83" t="s">
        <v>410</v>
      </c>
      <c r="B167" s="88" t="s">
        <v>411</v>
      </c>
      <c r="C167" s="84" t="s">
        <v>884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50</v>
      </c>
      <c r="B168" s="63" t="s">
        <v>231</v>
      </c>
      <c r="C168" s="64" t="s">
        <v>884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412</v>
      </c>
      <c r="B169" s="70" t="s">
        <v>232</v>
      </c>
      <c r="C169" s="64" t="s">
        <v>884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413</v>
      </c>
      <c r="B170" s="70" t="s">
        <v>233</v>
      </c>
      <c r="C170" s="64" t="s">
        <v>884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414</v>
      </c>
      <c r="B171" s="70" t="s">
        <v>234</v>
      </c>
      <c r="C171" s="64" t="s">
        <v>884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51</v>
      </c>
      <c r="B172" s="63" t="s">
        <v>235</v>
      </c>
      <c r="C172" s="64" t="s">
        <v>884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52</v>
      </c>
      <c r="B173" s="63" t="s">
        <v>236</v>
      </c>
      <c r="C173" s="64" t="s">
        <v>884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53</v>
      </c>
      <c r="B174" s="63" t="s">
        <v>237</v>
      </c>
      <c r="C174" s="64" t="s">
        <v>884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415</v>
      </c>
      <c r="B175" s="63" t="s">
        <v>239</v>
      </c>
      <c r="C175" s="64" t="s">
        <v>884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416</v>
      </c>
      <c r="B176" s="63" t="s">
        <v>241</v>
      </c>
      <c r="C176" s="64" t="s">
        <v>884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417</v>
      </c>
      <c r="B177" s="63" t="s">
        <v>243</v>
      </c>
      <c r="C177" s="64" t="s">
        <v>884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418</v>
      </c>
      <c r="B178" s="68" t="s">
        <v>245</v>
      </c>
      <c r="C178" s="64" t="s">
        <v>884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419</v>
      </c>
      <c r="B179" s="69" t="s">
        <v>134</v>
      </c>
      <c r="C179" s="64" t="s">
        <v>884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420</v>
      </c>
      <c r="B180" s="69" t="s">
        <v>135</v>
      </c>
      <c r="C180" s="64" t="s">
        <v>884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421</v>
      </c>
      <c r="B181" s="71" t="s">
        <v>422</v>
      </c>
      <c r="C181" s="64" t="s">
        <v>884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423</v>
      </c>
      <c r="B182" s="70" t="s">
        <v>424</v>
      </c>
      <c r="C182" s="64" t="s">
        <v>884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425</v>
      </c>
      <c r="B183" s="70" t="s">
        <v>426</v>
      </c>
      <c r="C183" s="64" t="s">
        <v>884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427</v>
      </c>
      <c r="B184" s="63" t="s">
        <v>249</v>
      </c>
      <c r="C184" s="64" t="s">
        <v>884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428</v>
      </c>
      <c r="B185" s="86" t="s">
        <v>429</v>
      </c>
      <c r="C185" s="64" t="s">
        <v>884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430</v>
      </c>
      <c r="B186" s="71" t="s">
        <v>431</v>
      </c>
      <c r="C186" s="64" t="s">
        <v>884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432</v>
      </c>
      <c r="B187" s="71" t="s">
        <v>433</v>
      </c>
      <c r="C187" s="64" t="s">
        <v>884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434</v>
      </c>
      <c r="B188" s="70" t="s">
        <v>435</v>
      </c>
      <c r="C188" s="64" t="s">
        <v>884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436</v>
      </c>
      <c r="B189" s="70" t="s">
        <v>437</v>
      </c>
      <c r="C189" s="64" t="s">
        <v>884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438</v>
      </c>
      <c r="B190" s="70" t="s">
        <v>439</v>
      </c>
      <c r="C190" s="64" t="s">
        <v>884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440</v>
      </c>
      <c r="B191" s="71" t="s">
        <v>441</v>
      </c>
      <c r="C191" s="64" t="s">
        <v>884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442</v>
      </c>
      <c r="B192" s="71" t="s">
        <v>443</v>
      </c>
      <c r="C192" s="64" t="s">
        <v>884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444</v>
      </c>
      <c r="B193" s="71" t="s">
        <v>445</v>
      </c>
      <c r="C193" s="64" t="s">
        <v>884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446</v>
      </c>
      <c r="B194" s="71" t="s">
        <v>447</v>
      </c>
      <c r="C194" s="64" t="s">
        <v>884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448</v>
      </c>
      <c r="B195" s="71" t="s">
        <v>449</v>
      </c>
      <c r="C195" s="64" t="s">
        <v>884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450</v>
      </c>
      <c r="B196" s="71" t="s">
        <v>451</v>
      </c>
      <c r="C196" s="64" t="s">
        <v>884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452</v>
      </c>
      <c r="B197" s="70" t="s">
        <v>453</v>
      </c>
      <c r="C197" s="64" t="s">
        <v>884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454</v>
      </c>
      <c r="B198" s="71" t="s">
        <v>455</v>
      </c>
      <c r="C198" s="64" t="s">
        <v>884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456</v>
      </c>
      <c r="B199" s="71" t="s">
        <v>457</v>
      </c>
      <c r="C199" s="64" t="s">
        <v>884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458</v>
      </c>
      <c r="B200" s="71" t="s">
        <v>459</v>
      </c>
      <c r="C200" s="64" t="s">
        <v>884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460</v>
      </c>
      <c r="B201" s="71" t="s">
        <v>461</v>
      </c>
      <c r="C201" s="64" t="s">
        <v>884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462</v>
      </c>
      <c r="B202" s="71" t="s">
        <v>463</v>
      </c>
      <c r="C202" s="64" t="s">
        <v>884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464</v>
      </c>
      <c r="B203" s="86" t="s">
        <v>465</v>
      </c>
      <c r="C203" s="64" t="s">
        <v>884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466</v>
      </c>
      <c r="B204" s="71" t="s">
        <v>467</v>
      </c>
      <c r="C204" s="64" t="s">
        <v>884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468</v>
      </c>
      <c r="B205" s="71" t="s">
        <v>469</v>
      </c>
      <c r="C205" s="64" t="s">
        <v>884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470</v>
      </c>
      <c r="B206" s="70" t="s">
        <v>471</v>
      </c>
      <c r="C206" s="64" t="s">
        <v>884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472</v>
      </c>
      <c r="B207" s="72" t="s">
        <v>179</v>
      </c>
      <c r="C207" s="64" t="s">
        <v>884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473</v>
      </c>
      <c r="B208" s="72" t="s">
        <v>183</v>
      </c>
      <c r="C208" s="64" t="s">
        <v>884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474</v>
      </c>
      <c r="B209" s="71" t="s">
        <v>475</v>
      </c>
      <c r="C209" s="64" t="s">
        <v>884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476</v>
      </c>
      <c r="B210" s="86" t="s">
        <v>477</v>
      </c>
      <c r="C210" s="64" t="s">
        <v>884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478</v>
      </c>
      <c r="B211" s="71" t="s">
        <v>479</v>
      </c>
      <c r="C211" s="64" t="s">
        <v>884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480</v>
      </c>
      <c r="B212" s="70" t="s">
        <v>481</v>
      </c>
      <c r="C212" s="64" t="s">
        <v>884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482</v>
      </c>
      <c r="B213" s="70" t="s">
        <v>483</v>
      </c>
      <c r="C213" s="64" t="s">
        <v>884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484</v>
      </c>
      <c r="B214" s="70" t="s">
        <v>485</v>
      </c>
      <c r="C214" s="64" t="s">
        <v>884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486</v>
      </c>
      <c r="B215" s="70" t="s">
        <v>487</v>
      </c>
      <c r="C215" s="64" t="s">
        <v>884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488</v>
      </c>
      <c r="B216" s="70" t="s">
        <v>489</v>
      </c>
      <c r="C216" s="64" t="s">
        <v>884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490</v>
      </c>
      <c r="B217" s="70" t="s">
        <v>491</v>
      </c>
      <c r="C217" s="64" t="s">
        <v>884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492</v>
      </c>
      <c r="B218" s="71" t="s">
        <v>493</v>
      </c>
      <c r="C218" s="64" t="s">
        <v>884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494</v>
      </c>
      <c r="B219" s="71" t="s">
        <v>495</v>
      </c>
      <c r="C219" s="64" t="s">
        <v>884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496</v>
      </c>
      <c r="B220" s="71" t="s">
        <v>302</v>
      </c>
      <c r="C220" s="64" t="s">
        <v>400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497</v>
      </c>
      <c r="B221" s="71" t="s">
        <v>498</v>
      </c>
      <c r="C221" s="64" t="s">
        <v>884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499</v>
      </c>
      <c r="B222" s="86" t="s">
        <v>500</v>
      </c>
      <c r="C222" s="64" t="s">
        <v>884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501</v>
      </c>
      <c r="B223" s="71" t="s">
        <v>502</v>
      </c>
      <c r="C223" s="64" t="s">
        <v>884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503</v>
      </c>
      <c r="B224" s="71" t="s">
        <v>504</v>
      </c>
      <c r="C224" s="64" t="s">
        <v>884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505</v>
      </c>
      <c r="B225" s="70" t="s">
        <v>506</v>
      </c>
      <c r="C225" s="64" t="s">
        <v>884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507</v>
      </c>
      <c r="B226" s="70" t="s">
        <v>508</v>
      </c>
      <c r="C226" s="64" t="s">
        <v>884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509</v>
      </c>
      <c r="B227" s="70" t="s">
        <v>510</v>
      </c>
      <c r="C227" s="64" t="s">
        <v>884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511</v>
      </c>
      <c r="B228" s="71" t="s">
        <v>512</v>
      </c>
      <c r="C228" s="64" t="s">
        <v>884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513</v>
      </c>
      <c r="B229" s="71" t="s">
        <v>514</v>
      </c>
      <c r="C229" s="64" t="s">
        <v>884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515</v>
      </c>
      <c r="B230" s="70" t="s">
        <v>516</v>
      </c>
      <c r="C230" s="64" t="s">
        <v>884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517</v>
      </c>
      <c r="B231" s="70" t="s">
        <v>518</v>
      </c>
      <c r="C231" s="64" t="s">
        <v>884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519</v>
      </c>
      <c r="B232" s="71" t="s">
        <v>520</v>
      </c>
      <c r="C232" s="64" t="s">
        <v>884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521</v>
      </c>
      <c r="B233" s="71" t="s">
        <v>522</v>
      </c>
      <c r="C233" s="64" t="s">
        <v>884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523</v>
      </c>
      <c r="B234" s="71" t="s">
        <v>524</v>
      </c>
      <c r="C234" s="64" t="s">
        <v>884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525</v>
      </c>
      <c r="B235" s="86" t="s">
        <v>526</v>
      </c>
      <c r="C235" s="64" t="s">
        <v>884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527</v>
      </c>
      <c r="B236" s="71" t="s">
        <v>528</v>
      </c>
      <c r="C236" s="64" t="s">
        <v>884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529</v>
      </c>
      <c r="B237" s="70" t="s">
        <v>506</v>
      </c>
      <c r="C237" s="64" t="s">
        <v>884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530</v>
      </c>
      <c r="B238" s="70" t="s">
        <v>508</v>
      </c>
      <c r="C238" s="64" t="s">
        <v>884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531</v>
      </c>
      <c r="B239" s="70" t="s">
        <v>510</v>
      </c>
      <c r="C239" s="64" t="s">
        <v>884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532</v>
      </c>
      <c r="B240" s="71" t="s">
        <v>397</v>
      </c>
      <c r="C240" s="64" t="s">
        <v>884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533</v>
      </c>
      <c r="B241" s="71" t="s">
        <v>534</v>
      </c>
      <c r="C241" s="64" t="s">
        <v>884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535</v>
      </c>
      <c r="B242" s="86" t="s">
        <v>536</v>
      </c>
      <c r="C242" s="64" t="s">
        <v>884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537</v>
      </c>
      <c r="B243" s="86" t="s">
        <v>538</v>
      </c>
      <c r="C243" s="64" t="s">
        <v>884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539</v>
      </c>
      <c r="B244" s="71" t="s">
        <v>540</v>
      </c>
      <c r="C244" s="64" t="s">
        <v>884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541</v>
      </c>
      <c r="B245" s="71" t="s">
        <v>542</v>
      </c>
      <c r="C245" s="64" t="s">
        <v>884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543</v>
      </c>
      <c r="B246" s="86" t="s">
        <v>544</v>
      </c>
      <c r="C246" s="64" t="s">
        <v>884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545</v>
      </c>
      <c r="B247" s="71" t="s">
        <v>546</v>
      </c>
      <c r="C247" s="64" t="s">
        <v>884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547</v>
      </c>
      <c r="B248" s="71" t="s">
        <v>548</v>
      </c>
      <c r="C248" s="64" t="s">
        <v>884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549</v>
      </c>
      <c r="B249" s="86" t="s">
        <v>550</v>
      </c>
      <c r="C249" s="64" t="s">
        <v>884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551</v>
      </c>
      <c r="B250" s="86" t="s">
        <v>552</v>
      </c>
      <c r="C250" s="64" t="s">
        <v>884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553</v>
      </c>
      <c r="B251" s="86" t="s">
        <v>554</v>
      </c>
      <c r="C251" s="64" t="s">
        <v>884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555</v>
      </c>
      <c r="B252" s="89" t="s">
        <v>556</v>
      </c>
      <c r="C252" s="76" t="s">
        <v>884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557</v>
      </c>
      <c r="B253" s="57" t="s">
        <v>302</v>
      </c>
      <c r="C253" s="58" t="s">
        <v>400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558</v>
      </c>
      <c r="B254" s="71" t="s">
        <v>559</v>
      </c>
      <c r="C254" s="64" t="s">
        <v>884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560</v>
      </c>
      <c r="B255" s="70" t="s">
        <v>561</v>
      </c>
      <c r="C255" s="64" t="s">
        <v>884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562</v>
      </c>
      <c r="B256" s="72" t="s">
        <v>563</v>
      </c>
      <c r="C256" s="64" t="s">
        <v>884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564</v>
      </c>
      <c r="B257" s="72" t="s">
        <v>565</v>
      </c>
      <c r="C257" s="64" t="s">
        <v>884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566</v>
      </c>
      <c r="B258" s="73" t="s">
        <v>563</v>
      </c>
      <c r="C258" s="64" t="s">
        <v>884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567</v>
      </c>
      <c r="B259" s="72" t="s">
        <v>233</v>
      </c>
      <c r="C259" s="64" t="s">
        <v>884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568</v>
      </c>
      <c r="B260" s="73" t="s">
        <v>563</v>
      </c>
      <c r="C260" s="64" t="s">
        <v>884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569</v>
      </c>
      <c r="B261" s="72" t="s">
        <v>234</v>
      </c>
      <c r="C261" s="64" t="s">
        <v>884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570</v>
      </c>
      <c r="B262" s="73" t="s">
        <v>563</v>
      </c>
      <c r="C262" s="64" t="s">
        <v>884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571</v>
      </c>
      <c r="B263" s="70" t="s">
        <v>572</v>
      </c>
      <c r="C263" s="64" t="s">
        <v>884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573</v>
      </c>
      <c r="B264" s="72" t="s">
        <v>563</v>
      </c>
      <c r="C264" s="64" t="s">
        <v>884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574</v>
      </c>
      <c r="B265" s="69" t="s">
        <v>127</v>
      </c>
      <c r="C265" s="64" t="s">
        <v>884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575</v>
      </c>
      <c r="B266" s="72" t="s">
        <v>563</v>
      </c>
      <c r="C266" s="64" t="s">
        <v>884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576</v>
      </c>
      <c r="B267" s="69" t="s">
        <v>577</v>
      </c>
      <c r="C267" s="64" t="s">
        <v>884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578</v>
      </c>
      <c r="B268" s="72" t="s">
        <v>563</v>
      </c>
      <c r="C268" s="64" t="s">
        <v>884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579</v>
      </c>
      <c r="B269" s="69" t="s">
        <v>580</v>
      </c>
      <c r="C269" s="64" t="s">
        <v>884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581</v>
      </c>
      <c r="B270" s="72" t="s">
        <v>563</v>
      </c>
      <c r="C270" s="64" t="s">
        <v>884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582</v>
      </c>
      <c r="B271" s="69" t="s">
        <v>129</v>
      </c>
      <c r="C271" s="64" t="s">
        <v>884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583</v>
      </c>
      <c r="B272" s="72" t="s">
        <v>563</v>
      </c>
      <c r="C272" s="64" t="s">
        <v>884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582</v>
      </c>
      <c r="B273" s="69" t="s">
        <v>584</v>
      </c>
      <c r="C273" s="64" t="s">
        <v>884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585</v>
      </c>
      <c r="B274" s="72" t="s">
        <v>563</v>
      </c>
      <c r="C274" s="64" t="s">
        <v>884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586</v>
      </c>
      <c r="B275" s="70" t="s">
        <v>587</v>
      </c>
      <c r="C275" s="64" t="s">
        <v>884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588</v>
      </c>
      <c r="B276" s="72" t="s">
        <v>563</v>
      </c>
      <c r="C276" s="64" t="s">
        <v>884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589</v>
      </c>
      <c r="B277" s="72" t="s">
        <v>134</v>
      </c>
      <c r="C277" s="64" t="s">
        <v>884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590</v>
      </c>
      <c r="B278" s="73" t="s">
        <v>563</v>
      </c>
      <c r="C278" s="64" t="s">
        <v>884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591</v>
      </c>
      <c r="B279" s="72" t="s">
        <v>135</v>
      </c>
      <c r="C279" s="64" t="s">
        <v>884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592</v>
      </c>
      <c r="B280" s="73" t="s">
        <v>563</v>
      </c>
      <c r="C280" s="64" t="s">
        <v>884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593</v>
      </c>
      <c r="B281" s="70" t="s">
        <v>594</v>
      </c>
      <c r="C281" s="64" t="s">
        <v>884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595</v>
      </c>
      <c r="B282" s="72" t="s">
        <v>563</v>
      </c>
      <c r="C282" s="64" t="s">
        <v>884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596</v>
      </c>
      <c r="B283" s="71" t="s">
        <v>597</v>
      </c>
      <c r="C283" s="64" t="s">
        <v>884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598</v>
      </c>
      <c r="B284" s="70" t="s">
        <v>599</v>
      </c>
      <c r="C284" s="64" t="s">
        <v>884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600</v>
      </c>
      <c r="B285" s="72" t="s">
        <v>563</v>
      </c>
      <c r="C285" s="64" t="s">
        <v>884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601</v>
      </c>
      <c r="B286" s="70" t="s">
        <v>602</v>
      </c>
      <c r="C286" s="64" t="s">
        <v>884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603</v>
      </c>
      <c r="B287" s="72" t="s">
        <v>435</v>
      </c>
      <c r="C287" s="64" t="s">
        <v>884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604</v>
      </c>
      <c r="B288" s="73" t="s">
        <v>563</v>
      </c>
      <c r="C288" s="64" t="s">
        <v>884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605</v>
      </c>
      <c r="B289" s="72" t="s">
        <v>606</v>
      </c>
      <c r="C289" s="64" t="s">
        <v>884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607</v>
      </c>
      <c r="B290" s="73" t="s">
        <v>563</v>
      </c>
      <c r="C290" s="64" t="s">
        <v>884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608</v>
      </c>
      <c r="B291" s="70" t="s">
        <v>609</v>
      </c>
      <c r="C291" s="64" t="s">
        <v>884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610</v>
      </c>
      <c r="B292" s="72" t="s">
        <v>563</v>
      </c>
      <c r="C292" s="64" t="s">
        <v>884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611</v>
      </c>
      <c r="B293" s="70" t="s">
        <v>612</v>
      </c>
      <c r="C293" s="64" t="s">
        <v>884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613</v>
      </c>
      <c r="B294" s="72" t="s">
        <v>563</v>
      </c>
      <c r="C294" s="64" t="s">
        <v>884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614</v>
      </c>
      <c r="B295" s="70" t="s">
        <v>615</v>
      </c>
      <c r="C295" s="64" t="s">
        <v>884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616</v>
      </c>
      <c r="B296" s="72" t="s">
        <v>563</v>
      </c>
      <c r="C296" s="64" t="s">
        <v>884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617</v>
      </c>
      <c r="B297" s="70" t="s">
        <v>618</v>
      </c>
      <c r="C297" s="64" t="s">
        <v>884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619</v>
      </c>
      <c r="B298" s="72" t="s">
        <v>563</v>
      </c>
      <c r="C298" s="64" t="s">
        <v>884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620</v>
      </c>
      <c r="B299" s="70" t="s">
        <v>621</v>
      </c>
      <c r="C299" s="64" t="s">
        <v>884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622</v>
      </c>
      <c r="B300" s="72" t="s">
        <v>563</v>
      </c>
      <c r="C300" s="64" t="s">
        <v>884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623</v>
      </c>
      <c r="B301" s="70" t="s">
        <v>624</v>
      </c>
      <c r="C301" s="64" t="s">
        <v>884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625</v>
      </c>
      <c r="B302" s="72" t="s">
        <v>563</v>
      </c>
      <c r="C302" s="64" t="s">
        <v>884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626</v>
      </c>
      <c r="B303" s="70" t="s">
        <v>627</v>
      </c>
      <c r="C303" s="64" t="s">
        <v>884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628</v>
      </c>
      <c r="B304" s="72" t="s">
        <v>563</v>
      </c>
      <c r="C304" s="64" t="s">
        <v>884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629</v>
      </c>
      <c r="B305" s="71" t="s">
        <v>630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631</v>
      </c>
      <c r="B306" s="70" t="s">
        <v>632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633</v>
      </c>
      <c r="B307" s="70" t="s">
        <v>634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635</v>
      </c>
      <c r="B308" s="70" t="s">
        <v>636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637</v>
      </c>
      <c r="B309" s="70" t="s">
        <v>638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639</v>
      </c>
      <c r="B310" s="69" t="s">
        <v>640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641</v>
      </c>
      <c r="B311" s="69" t="s">
        <v>642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643</v>
      </c>
      <c r="B312" s="69" t="s">
        <v>644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645</v>
      </c>
      <c r="B313" s="69" t="s">
        <v>646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647</v>
      </c>
      <c r="B314" s="69" t="s">
        <v>648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649</v>
      </c>
      <c r="B315" s="70" t="s">
        <v>650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651</v>
      </c>
      <c r="B316" s="90" t="s">
        <v>134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652</v>
      </c>
      <c r="B317" s="91" t="s">
        <v>135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420" t="s">
        <v>653</v>
      </c>
      <c r="B318" s="421"/>
      <c r="C318" s="421"/>
      <c r="D318" s="421"/>
      <c r="E318" s="421"/>
      <c r="F318" s="421"/>
      <c r="G318" s="421"/>
      <c r="H318" s="422"/>
      <c r="I318" s="50"/>
    </row>
    <row r="319" spans="1:9" ht="31.5" x14ac:dyDescent="0.25">
      <c r="A319" s="83" t="s">
        <v>654</v>
      </c>
      <c r="B319" s="88" t="s">
        <v>655</v>
      </c>
      <c r="C319" s="84" t="s">
        <v>400</v>
      </c>
      <c r="D319" s="217" t="s">
        <v>656</v>
      </c>
      <c r="E319" s="217" t="s">
        <v>656</v>
      </c>
      <c r="F319" s="217"/>
      <c r="G319" s="217" t="s">
        <v>656</v>
      </c>
      <c r="H319" s="218" t="s">
        <v>656</v>
      </c>
    </row>
    <row r="320" spans="1:9" x14ac:dyDescent="0.25">
      <c r="A320" s="62" t="s">
        <v>657</v>
      </c>
      <c r="B320" s="71" t="s">
        <v>658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659</v>
      </c>
      <c r="B321" s="71" t="s">
        <v>660</v>
      </c>
      <c r="C321" s="64" t="s">
        <v>661</v>
      </c>
      <c r="D321" s="65"/>
      <c r="E321" s="209"/>
      <c r="F321" s="209"/>
      <c r="G321" s="209"/>
      <c r="H321" s="208"/>
    </row>
    <row r="322" spans="1:8" x14ac:dyDescent="0.25">
      <c r="A322" s="62" t="s">
        <v>662</v>
      </c>
      <c r="B322" s="71" t="s">
        <v>663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664</v>
      </c>
      <c r="B323" s="71" t="s">
        <v>665</v>
      </c>
      <c r="C323" s="64" t="s">
        <v>661</v>
      </c>
      <c r="D323" s="65"/>
      <c r="E323" s="209"/>
      <c r="F323" s="209"/>
      <c r="G323" s="209"/>
      <c r="H323" s="208"/>
    </row>
    <row r="324" spans="1:8" x14ac:dyDescent="0.25">
      <c r="A324" s="62" t="s">
        <v>666</v>
      </c>
      <c r="B324" s="71" t="s">
        <v>667</v>
      </c>
      <c r="C324" s="64" t="s">
        <v>668</v>
      </c>
      <c r="D324" s="65"/>
      <c r="E324" s="209"/>
      <c r="F324" s="209"/>
      <c r="G324" s="209"/>
      <c r="H324" s="208"/>
    </row>
    <row r="325" spans="1:8" x14ac:dyDescent="0.25">
      <c r="A325" s="62" t="s">
        <v>669</v>
      </c>
      <c r="B325" s="71" t="s">
        <v>670</v>
      </c>
      <c r="C325" s="64" t="s">
        <v>400</v>
      </c>
      <c r="D325" s="219" t="s">
        <v>656</v>
      </c>
      <c r="E325" s="219" t="s">
        <v>656</v>
      </c>
      <c r="F325" s="219"/>
      <c r="G325" s="219" t="s">
        <v>656</v>
      </c>
      <c r="H325" s="220" t="s">
        <v>656</v>
      </c>
    </row>
    <row r="326" spans="1:8" x14ac:dyDescent="0.25">
      <c r="A326" s="62" t="s">
        <v>671</v>
      </c>
      <c r="B326" s="70" t="s">
        <v>672</v>
      </c>
      <c r="C326" s="64" t="s">
        <v>668</v>
      </c>
      <c r="D326" s="65"/>
      <c r="E326" s="209"/>
      <c r="F326" s="209"/>
      <c r="G326" s="209"/>
      <c r="H326" s="208"/>
    </row>
    <row r="327" spans="1:8" x14ac:dyDescent="0.25">
      <c r="A327" s="62" t="s">
        <v>673</v>
      </c>
      <c r="B327" s="70" t="s">
        <v>674</v>
      </c>
      <c r="C327" s="64" t="s">
        <v>675</v>
      </c>
      <c r="D327" s="65"/>
      <c r="E327" s="209"/>
      <c r="F327" s="209"/>
      <c r="G327" s="209"/>
      <c r="H327" s="208"/>
    </row>
    <row r="328" spans="1:8" x14ac:dyDescent="0.25">
      <c r="A328" s="62" t="s">
        <v>676</v>
      </c>
      <c r="B328" s="71" t="s">
        <v>677</v>
      </c>
      <c r="C328" s="64" t="s">
        <v>400</v>
      </c>
      <c r="D328" s="219" t="s">
        <v>656</v>
      </c>
      <c r="E328" s="219" t="s">
        <v>656</v>
      </c>
      <c r="F328" s="219"/>
      <c r="G328" s="219" t="s">
        <v>656</v>
      </c>
      <c r="H328" s="220" t="s">
        <v>656</v>
      </c>
    </row>
    <row r="329" spans="1:8" x14ac:dyDescent="0.25">
      <c r="A329" s="62" t="s">
        <v>678</v>
      </c>
      <c r="B329" s="70" t="s">
        <v>672</v>
      </c>
      <c r="C329" s="64" t="s">
        <v>668</v>
      </c>
      <c r="D329" s="65"/>
      <c r="E329" s="209"/>
      <c r="F329" s="209"/>
      <c r="G329" s="209"/>
      <c r="H329" s="208"/>
    </row>
    <row r="330" spans="1:8" x14ac:dyDescent="0.25">
      <c r="A330" s="62" t="s">
        <v>679</v>
      </c>
      <c r="B330" s="70" t="s">
        <v>680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681</v>
      </c>
      <c r="B331" s="70" t="s">
        <v>674</v>
      </c>
      <c r="C331" s="64" t="s">
        <v>675</v>
      </c>
      <c r="D331" s="65"/>
      <c r="E331" s="209"/>
      <c r="F331" s="209"/>
      <c r="G331" s="209"/>
      <c r="H331" s="208"/>
    </row>
    <row r="332" spans="1:8" x14ac:dyDescent="0.25">
      <c r="A332" s="62" t="s">
        <v>682</v>
      </c>
      <c r="B332" s="71" t="s">
        <v>683</v>
      </c>
      <c r="C332" s="64" t="s">
        <v>400</v>
      </c>
      <c r="D332" s="219" t="s">
        <v>656</v>
      </c>
      <c r="E332" s="219" t="s">
        <v>656</v>
      </c>
      <c r="F332" s="219"/>
      <c r="G332" s="219" t="s">
        <v>656</v>
      </c>
      <c r="H332" s="220" t="s">
        <v>656</v>
      </c>
    </row>
    <row r="333" spans="1:8" x14ac:dyDescent="0.25">
      <c r="A333" s="62" t="s">
        <v>684</v>
      </c>
      <c r="B333" s="70" t="s">
        <v>672</v>
      </c>
      <c r="C333" s="64" t="s">
        <v>668</v>
      </c>
      <c r="D333" s="65"/>
      <c r="E333" s="209"/>
      <c r="F333" s="209"/>
      <c r="G333" s="209"/>
      <c r="H333" s="208"/>
    </row>
    <row r="334" spans="1:8" x14ac:dyDescent="0.25">
      <c r="A334" s="62" t="s">
        <v>685</v>
      </c>
      <c r="B334" s="70" t="s">
        <v>674</v>
      </c>
      <c r="C334" s="64" t="s">
        <v>675</v>
      </c>
      <c r="D334" s="65"/>
      <c r="E334" s="209"/>
      <c r="F334" s="209"/>
      <c r="G334" s="209"/>
      <c r="H334" s="208"/>
    </row>
    <row r="335" spans="1:8" x14ac:dyDescent="0.25">
      <c r="A335" s="62" t="s">
        <v>686</v>
      </c>
      <c r="B335" s="71" t="s">
        <v>687</v>
      </c>
      <c r="C335" s="64" t="s">
        <v>400</v>
      </c>
      <c r="D335" s="219" t="s">
        <v>656</v>
      </c>
      <c r="E335" s="219" t="s">
        <v>656</v>
      </c>
      <c r="F335" s="219"/>
      <c r="G335" s="219" t="s">
        <v>656</v>
      </c>
      <c r="H335" s="220" t="s">
        <v>656</v>
      </c>
    </row>
    <row r="336" spans="1:8" x14ac:dyDescent="0.25">
      <c r="A336" s="62" t="s">
        <v>688</v>
      </c>
      <c r="B336" s="70" t="s">
        <v>672</v>
      </c>
      <c r="C336" s="64" t="s">
        <v>668</v>
      </c>
      <c r="D336" s="65"/>
      <c r="E336" s="209"/>
      <c r="F336" s="209"/>
      <c r="G336" s="209"/>
      <c r="H336" s="208"/>
    </row>
    <row r="337" spans="1:8" x14ac:dyDescent="0.25">
      <c r="A337" s="62" t="s">
        <v>689</v>
      </c>
      <c r="B337" s="70" t="s">
        <v>680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690</v>
      </c>
      <c r="B338" s="70" t="s">
        <v>674</v>
      </c>
      <c r="C338" s="64" t="s">
        <v>675</v>
      </c>
      <c r="D338" s="65"/>
      <c r="E338" s="209"/>
      <c r="F338" s="209"/>
      <c r="G338" s="209"/>
      <c r="H338" s="208"/>
    </row>
    <row r="339" spans="1:8" x14ac:dyDescent="0.25">
      <c r="A339" s="83" t="s">
        <v>691</v>
      </c>
      <c r="B339" s="88" t="s">
        <v>692</v>
      </c>
      <c r="C339" s="84" t="s">
        <v>400</v>
      </c>
      <c r="D339" s="219" t="s">
        <v>656</v>
      </c>
      <c r="E339" s="219" t="s">
        <v>656</v>
      </c>
      <c r="F339" s="217"/>
      <c r="G339" s="217" t="s">
        <v>656</v>
      </c>
      <c r="H339" s="218" t="s">
        <v>656</v>
      </c>
    </row>
    <row r="340" spans="1:8" x14ac:dyDescent="0.25">
      <c r="A340" s="62" t="s">
        <v>693</v>
      </c>
      <c r="B340" s="71" t="s">
        <v>694</v>
      </c>
      <c r="C340" s="64" t="s">
        <v>668</v>
      </c>
      <c r="D340" s="65"/>
      <c r="E340" s="209"/>
      <c r="F340" s="209"/>
      <c r="G340" s="209"/>
      <c r="H340" s="208"/>
    </row>
    <row r="341" spans="1:8" ht="31.5" x14ac:dyDescent="0.25">
      <c r="A341" s="62" t="s">
        <v>695</v>
      </c>
      <c r="B341" s="70" t="s">
        <v>696</v>
      </c>
      <c r="C341" s="64" t="s">
        <v>668</v>
      </c>
      <c r="D341" s="65"/>
      <c r="E341" s="209"/>
      <c r="F341" s="209"/>
      <c r="G341" s="209"/>
      <c r="H341" s="208"/>
    </row>
    <row r="342" spans="1:8" x14ac:dyDescent="0.25">
      <c r="A342" s="62" t="s">
        <v>697</v>
      </c>
      <c r="B342" s="90" t="s">
        <v>698</v>
      </c>
      <c r="C342" s="64" t="s">
        <v>668</v>
      </c>
      <c r="D342" s="65"/>
      <c r="E342" s="209"/>
      <c r="F342" s="209"/>
      <c r="G342" s="209"/>
      <c r="H342" s="208"/>
    </row>
    <row r="343" spans="1:8" x14ac:dyDescent="0.25">
      <c r="A343" s="62" t="s">
        <v>699</v>
      </c>
      <c r="B343" s="90" t="s">
        <v>700</v>
      </c>
      <c r="C343" s="64" t="s">
        <v>668</v>
      </c>
      <c r="D343" s="65"/>
      <c r="E343" s="209"/>
      <c r="F343" s="209"/>
      <c r="G343" s="209"/>
      <c r="H343" s="208"/>
    </row>
    <row r="344" spans="1:8" x14ac:dyDescent="0.25">
      <c r="A344" s="62" t="s">
        <v>701</v>
      </c>
      <c r="B344" s="71" t="s">
        <v>702</v>
      </c>
      <c r="C344" s="64" t="s">
        <v>668</v>
      </c>
      <c r="D344" s="65"/>
      <c r="E344" s="209"/>
      <c r="F344" s="209"/>
      <c r="G344" s="209"/>
      <c r="H344" s="208"/>
    </row>
    <row r="345" spans="1:8" x14ac:dyDescent="0.25">
      <c r="A345" s="62" t="s">
        <v>703</v>
      </c>
      <c r="B345" s="71" t="s">
        <v>704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705</v>
      </c>
      <c r="B346" s="70" t="s">
        <v>706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707</v>
      </c>
      <c r="B347" s="90" t="s">
        <v>698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708</v>
      </c>
      <c r="B348" s="90" t="s">
        <v>700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709</v>
      </c>
      <c r="B349" s="71" t="s">
        <v>710</v>
      </c>
      <c r="C349" s="64" t="s">
        <v>711</v>
      </c>
      <c r="D349" s="65"/>
      <c r="E349" s="209"/>
      <c r="F349" s="209"/>
      <c r="G349" s="209"/>
      <c r="H349" s="208"/>
    </row>
    <row r="350" spans="1:8" ht="31.5" x14ac:dyDescent="0.25">
      <c r="A350" s="62" t="s">
        <v>712</v>
      </c>
      <c r="B350" s="71" t="s">
        <v>713</v>
      </c>
      <c r="C350" s="64" t="s">
        <v>884</v>
      </c>
      <c r="D350" s="65"/>
      <c r="E350" s="209"/>
      <c r="F350" s="209"/>
      <c r="G350" s="209"/>
      <c r="H350" s="208"/>
    </row>
    <row r="351" spans="1:8" x14ac:dyDescent="0.25">
      <c r="A351" s="62" t="s">
        <v>714</v>
      </c>
      <c r="B351" s="86" t="s">
        <v>715</v>
      </c>
      <c r="C351" s="64" t="s">
        <v>400</v>
      </c>
      <c r="D351" s="219" t="s">
        <v>656</v>
      </c>
      <c r="E351" s="219" t="s">
        <v>656</v>
      </c>
      <c r="F351" s="219"/>
      <c r="G351" s="219" t="s">
        <v>656</v>
      </c>
      <c r="H351" s="220" t="s">
        <v>656</v>
      </c>
    </row>
    <row r="352" spans="1:8" x14ac:dyDescent="0.25">
      <c r="A352" s="62" t="s">
        <v>716</v>
      </c>
      <c r="B352" s="71" t="s">
        <v>717</v>
      </c>
      <c r="C352" s="64" t="s">
        <v>668</v>
      </c>
      <c r="D352" s="65"/>
      <c r="E352" s="209"/>
      <c r="F352" s="209"/>
      <c r="G352" s="209"/>
      <c r="H352" s="208"/>
    </row>
    <row r="353" spans="1:8" x14ac:dyDescent="0.25">
      <c r="A353" s="62" t="s">
        <v>718</v>
      </c>
      <c r="B353" s="71" t="s">
        <v>719</v>
      </c>
      <c r="C353" s="64" t="s">
        <v>661</v>
      </c>
      <c r="D353" s="65"/>
      <c r="E353" s="209"/>
      <c r="F353" s="209"/>
      <c r="G353" s="209"/>
      <c r="H353" s="208"/>
    </row>
    <row r="354" spans="1:8" ht="47.25" x14ac:dyDescent="0.25">
      <c r="A354" s="62" t="s">
        <v>720</v>
      </c>
      <c r="B354" s="71" t="s">
        <v>721</v>
      </c>
      <c r="C354" s="64" t="s">
        <v>884</v>
      </c>
      <c r="D354" s="65"/>
      <c r="E354" s="209"/>
      <c r="F354" s="209"/>
      <c r="G354" s="209"/>
      <c r="H354" s="208"/>
    </row>
    <row r="355" spans="1:8" ht="31.5" x14ac:dyDescent="0.25">
      <c r="A355" s="62" t="s">
        <v>722</v>
      </c>
      <c r="B355" s="71" t="s">
        <v>723</v>
      </c>
      <c r="C355" s="64" t="s">
        <v>884</v>
      </c>
      <c r="D355" s="65"/>
      <c r="E355" s="209"/>
      <c r="F355" s="209"/>
      <c r="G355" s="209"/>
      <c r="H355" s="208"/>
    </row>
    <row r="356" spans="1:8" x14ac:dyDescent="0.25">
      <c r="A356" s="62" t="s">
        <v>724</v>
      </c>
      <c r="B356" s="86" t="s">
        <v>725</v>
      </c>
      <c r="C356" s="220" t="s">
        <v>400</v>
      </c>
      <c r="D356" s="219" t="s">
        <v>656</v>
      </c>
      <c r="E356" s="219" t="s">
        <v>656</v>
      </c>
      <c r="F356" s="219"/>
      <c r="G356" s="219" t="s">
        <v>656</v>
      </c>
      <c r="H356" s="220" t="s">
        <v>656</v>
      </c>
    </row>
    <row r="357" spans="1:8" x14ac:dyDescent="0.25">
      <c r="A357" s="62" t="s">
        <v>726</v>
      </c>
      <c r="B357" s="71" t="s">
        <v>727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728</v>
      </c>
      <c r="B358" s="70" t="s">
        <v>729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730</v>
      </c>
      <c r="B359" s="70" t="s">
        <v>731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732</v>
      </c>
      <c r="B360" s="70" t="s">
        <v>733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734</v>
      </c>
      <c r="B361" s="71" t="s">
        <v>735</v>
      </c>
      <c r="C361" s="64" t="s">
        <v>668</v>
      </c>
      <c r="D361" s="65"/>
      <c r="E361" s="209"/>
      <c r="F361" s="209"/>
      <c r="G361" s="209"/>
      <c r="H361" s="208"/>
    </row>
    <row r="362" spans="1:8" ht="31.5" x14ac:dyDescent="0.25">
      <c r="A362" s="62" t="s">
        <v>736</v>
      </c>
      <c r="B362" s="70" t="s">
        <v>737</v>
      </c>
      <c r="C362" s="64" t="s">
        <v>668</v>
      </c>
      <c r="D362" s="65"/>
      <c r="E362" s="209"/>
      <c r="F362" s="209"/>
      <c r="G362" s="209"/>
      <c r="H362" s="208"/>
    </row>
    <row r="363" spans="1:8" x14ac:dyDescent="0.25">
      <c r="A363" s="62" t="s">
        <v>738</v>
      </c>
      <c r="B363" s="70" t="s">
        <v>739</v>
      </c>
      <c r="C363" s="64" t="s">
        <v>668</v>
      </c>
      <c r="D363" s="65"/>
      <c r="E363" s="209"/>
      <c r="F363" s="209"/>
      <c r="G363" s="209"/>
      <c r="H363" s="208"/>
    </row>
    <row r="364" spans="1:8" ht="31.5" x14ac:dyDescent="0.25">
      <c r="A364" s="62" t="s">
        <v>740</v>
      </c>
      <c r="B364" s="71" t="s">
        <v>741</v>
      </c>
      <c r="C364" s="64" t="s">
        <v>884</v>
      </c>
      <c r="D364" s="65"/>
      <c r="E364" s="209"/>
      <c r="F364" s="209"/>
      <c r="G364" s="209"/>
      <c r="H364" s="208"/>
    </row>
    <row r="365" spans="1:8" x14ac:dyDescent="0.25">
      <c r="A365" s="62" t="s">
        <v>742</v>
      </c>
      <c r="B365" s="70" t="s">
        <v>743</v>
      </c>
      <c r="C365" s="64" t="s">
        <v>884</v>
      </c>
      <c r="D365" s="77"/>
      <c r="E365" s="209"/>
      <c r="F365" s="210"/>
      <c r="G365" s="210"/>
      <c r="H365" s="211"/>
    </row>
    <row r="366" spans="1:8" x14ac:dyDescent="0.25">
      <c r="A366" s="62" t="s">
        <v>744</v>
      </c>
      <c r="B366" s="70" t="s">
        <v>135</v>
      </c>
      <c r="C366" s="64" t="s">
        <v>884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745</v>
      </c>
      <c r="B367" s="92" t="s">
        <v>746</v>
      </c>
      <c r="C367" s="81" t="s">
        <v>885</v>
      </c>
      <c r="D367" s="82"/>
      <c r="E367" s="213"/>
      <c r="F367" s="213"/>
      <c r="G367" s="213"/>
      <c r="H367" s="93"/>
    </row>
    <row r="368" spans="1:8" x14ac:dyDescent="0.25">
      <c r="A368" s="423" t="s">
        <v>747</v>
      </c>
      <c r="B368" s="424"/>
      <c r="C368" s="424"/>
      <c r="D368" s="424"/>
      <c r="E368" s="424"/>
      <c r="F368" s="424"/>
      <c r="G368" s="424"/>
      <c r="H368" s="425"/>
    </row>
    <row r="369" spans="1:8" ht="16.5" thickBot="1" x14ac:dyDescent="0.3">
      <c r="A369" s="423"/>
      <c r="B369" s="424"/>
      <c r="C369" s="424"/>
      <c r="D369" s="424"/>
      <c r="E369" s="424"/>
      <c r="F369" s="424"/>
      <c r="G369" s="424"/>
      <c r="H369" s="425"/>
    </row>
    <row r="370" spans="1:8" ht="51.75" customHeight="1" x14ac:dyDescent="0.25">
      <c r="A370" s="409" t="s">
        <v>118</v>
      </c>
      <c r="B370" s="405" t="s">
        <v>119</v>
      </c>
      <c r="C370" s="407" t="s">
        <v>228</v>
      </c>
      <c r="D370" s="412" t="s">
        <v>806</v>
      </c>
      <c r="E370" s="413"/>
      <c r="F370" s="414" t="s">
        <v>808</v>
      </c>
      <c r="G370" s="413"/>
      <c r="H370" s="415" t="s">
        <v>7</v>
      </c>
    </row>
    <row r="371" spans="1:8" ht="38.25" x14ac:dyDescent="0.25">
      <c r="A371" s="410"/>
      <c r="B371" s="406"/>
      <c r="C371" s="408"/>
      <c r="D371" s="201" t="s">
        <v>810</v>
      </c>
      <c r="E371" s="202" t="s">
        <v>10</v>
      </c>
      <c r="F371" s="202" t="s">
        <v>811</v>
      </c>
      <c r="G371" s="201" t="s">
        <v>809</v>
      </c>
      <c r="H371" s="416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417" t="s">
        <v>748</v>
      </c>
      <c r="B373" s="418"/>
      <c r="C373" s="84" t="s">
        <v>884</v>
      </c>
      <c r="D373" s="85"/>
      <c r="E373" s="100"/>
      <c r="F373" s="100"/>
      <c r="G373" s="101"/>
      <c r="H373" s="102"/>
    </row>
    <row r="374" spans="1:8" ht="18.75" x14ac:dyDescent="0.25">
      <c r="A374" s="62" t="s">
        <v>120</v>
      </c>
      <c r="B374" s="103" t="s">
        <v>749</v>
      </c>
      <c r="C374" s="64" t="s">
        <v>884</v>
      </c>
      <c r="D374" s="65"/>
      <c r="E374" s="104"/>
      <c r="F374" s="104"/>
      <c r="G374" s="105"/>
      <c r="H374" s="106"/>
    </row>
    <row r="375" spans="1:8" ht="18.75" x14ac:dyDescent="0.25">
      <c r="A375" s="62" t="s">
        <v>121</v>
      </c>
      <c r="B375" s="71" t="s">
        <v>122</v>
      </c>
      <c r="C375" s="64" t="s">
        <v>884</v>
      </c>
      <c r="D375" s="65"/>
      <c r="E375" s="104"/>
      <c r="F375" s="104"/>
      <c r="G375" s="105"/>
      <c r="H375" s="106"/>
    </row>
    <row r="376" spans="1:8" ht="31.5" x14ac:dyDescent="0.25">
      <c r="A376" s="62" t="s">
        <v>123</v>
      </c>
      <c r="B376" s="70" t="s">
        <v>750</v>
      </c>
      <c r="C376" s="64" t="s">
        <v>884</v>
      </c>
      <c r="D376" s="65"/>
      <c r="E376" s="107"/>
      <c r="F376" s="107"/>
      <c r="G376" s="105"/>
      <c r="H376" s="106"/>
    </row>
    <row r="377" spans="1:8" ht="18.75" x14ac:dyDescent="0.25">
      <c r="A377" s="62" t="s">
        <v>124</v>
      </c>
      <c r="B377" s="72" t="s">
        <v>751</v>
      </c>
      <c r="C377" s="64" t="s">
        <v>884</v>
      </c>
      <c r="D377" s="65"/>
      <c r="E377" s="107"/>
      <c r="F377" s="107"/>
      <c r="G377" s="105"/>
      <c r="H377" s="106"/>
    </row>
    <row r="378" spans="1:8" ht="31.5" x14ac:dyDescent="0.25">
      <c r="A378" s="62" t="s">
        <v>752</v>
      </c>
      <c r="B378" s="73" t="s">
        <v>232</v>
      </c>
      <c r="C378" s="64" t="s">
        <v>884</v>
      </c>
      <c r="D378" s="65"/>
      <c r="E378" s="107"/>
      <c r="F378" s="107"/>
      <c r="G378" s="105"/>
      <c r="H378" s="106"/>
    </row>
    <row r="379" spans="1:8" ht="31.5" x14ac:dyDescent="0.25">
      <c r="A379" s="62" t="s">
        <v>753</v>
      </c>
      <c r="B379" s="73" t="s">
        <v>233</v>
      </c>
      <c r="C379" s="64" t="s">
        <v>884</v>
      </c>
      <c r="D379" s="65"/>
      <c r="E379" s="107"/>
      <c r="F379" s="107"/>
      <c r="G379" s="105"/>
      <c r="H379" s="106"/>
    </row>
    <row r="380" spans="1:8" ht="31.5" x14ac:dyDescent="0.25">
      <c r="A380" s="62" t="s">
        <v>754</v>
      </c>
      <c r="B380" s="73" t="s">
        <v>234</v>
      </c>
      <c r="C380" s="64" t="s">
        <v>884</v>
      </c>
      <c r="D380" s="65"/>
      <c r="E380" s="107"/>
      <c r="F380" s="107"/>
      <c r="G380" s="105"/>
      <c r="H380" s="106"/>
    </row>
    <row r="381" spans="1:8" ht="18.75" x14ac:dyDescent="0.25">
      <c r="A381" s="62" t="s">
        <v>126</v>
      </c>
      <c r="B381" s="72" t="s">
        <v>755</v>
      </c>
      <c r="C381" s="64" t="s">
        <v>884</v>
      </c>
      <c r="D381" s="65"/>
      <c r="E381" s="107"/>
      <c r="F381" s="107"/>
      <c r="G381" s="105"/>
      <c r="H381" s="106"/>
    </row>
    <row r="382" spans="1:8" ht="18.75" x14ac:dyDescent="0.25">
      <c r="A382" s="62" t="s">
        <v>128</v>
      </c>
      <c r="B382" s="72" t="s">
        <v>756</v>
      </c>
      <c r="C382" s="64" t="s">
        <v>884</v>
      </c>
      <c r="D382" s="65"/>
      <c r="E382" s="107"/>
      <c r="F382" s="107"/>
      <c r="G382" s="105"/>
      <c r="H382" s="106"/>
    </row>
    <row r="383" spans="1:8" ht="18.75" x14ac:dyDescent="0.25">
      <c r="A383" s="62" t="s">
        <v>130</v>
      </c>
      <c r="B383" s="72" t="s">
        <v>757</v>
      </c>
      <c r="C383" s="64" t="s">
        <v>884</v>
      </c>
      <c r="D383" s="65"/>
      <c r="E383" s="107"/>
      <c r="F383" s="107"/>
      <c r="G383" s="105"/>
      <c r="H383" s="106"/>
    </row>
    <row r="384" spans="1:8" ht="18.75" x14ac:dyDescent="0.25">
      <c r="A384" s="62" t="s">
        <v>131</v>
      </c>
      <c r="B384" s="72" t="s">
        <v>758</v>
      </c>
      <c r="C384" s="64" t="s">
        <v>884</v>
      </c>
      <c r="D384" s="65"/>
      <c r="E384" s="107"/>
      <c r="F384" s="107"/>
      <c r="G384" s="105"/>
      <c r="H384" s="106"/>
    </row>
    <row r="385" spans="1:8" ht="31.5" x14ac:dyDescent="0.25">
      <c r="A385" s="62" t="s">
        <v>759</v>
      </c>
      <c r="B385" s="73" t="s">
        <v>760</v>
      </c>
      <c r="C385" s="64" t="s">
        <v>884</v>
      </c>
      <c r="D385" s="65"/>
      <c r="E385" s="107"/>
      <c r="F385" s="107"/>
      <c r="G385" s="105"/>
      <c r="H385" s="106"/>
    </row>
    <row r="386" spans="1:8" ht="18.75" x14ac:dyDescent="0.25">
      <c r="A386" s="62" t="s">
        <v>761</v>
      </c>
      <c r="B386" s="73" t="s">
        <v>762</v>
      </c>
      <c r="C386" s="64" t="s">
        <v>884</v>
      </c>
      <c r="D386" s="65"/>
      <c r="E386" s="107"/>
      <c r="F386" s="107"/>
      <c r="G386" s="105"/>
      <c r="H386" s="106"/>
    </row>
    <row r="387" spans="1:8" ht="18.75" x14ac:dyDescent="0.25">
      <c r="A387" s="62" t="s">
        <v>763</v>
      </c>
      <c r="B387" s="73" t="s">
        <v>138</v>
      </c>
      <c r="C387" s="64" t="s">
        <v>884</v>
      </c>
      <c r="D387" s="65"/>
      <c r="E387" s="107"/>
      <c r="F387" s="107"/>
      <c r="G387" s="105"/>
      <c r="H387" s="106"/>
    </row>
    <row r="388" spans="1:8" ht="18.75" x14ac:dyDescent="0.25">
      <c r="A388" s="62" t="s">
        <v>764</v>
      </c>
      <c r="B388" s="73" t="s">
        <v>762</v>
      </c>
      <c r="C388" s="64" t="s">
        <v>884</v>
      </c>
      <c r="D388" s="65"/>
      <c r="E388" s="107"/>
      <c r="F388" s="107"/>
      <c r="G388" s="105"/>
      <c r="H388" s="106"/>
    </row>
    <row r="389" spans="1:8" ht="18.75" x14ac:dyDescent="0.25">
      <c r="A389" s="62" t="s">
        <v>132</v>
      </c>
      <c r="B389" s="72" t="s">
        <v>765</v>
      </c>
      <c r="C389" s="64" t="s">
        <v>884</v>
      </c>
      <c r="D389" s="65"/>
      <c r="E389" s="107"/>
      <c r="F389" s="107"/>
      <c r="G389" s="105"/>
      <c r="H389" s="106"/>
    </row>
    <row r="390" spans="1:8" ht="18.75" x14ac:dyDescent="0.25">
      <c r="A390" s="62" t="s">
        <v>133</v>
      </c>
      <c r="B390" s="72" t="s">
        <v>584</v>
      </c>
      <c r="C390" s="64" t="s">
        <v>884</v>
      </c>
      <c r="D390" s="65"/>
      <c r="E390" s="107"/>
      <c r="F390" s="107"/>
      <c r="G390" s="105"/>
      <c r="H390" s="106"/>
    </row>
    <row r="391" spans="1:8" ht="31.5" x14ac:dyDescent="0.25">
      <c r="A391" s="62" t="s">
        <v>766</v>
      </c>
      <c r="B391" s="72" t="s">
        <v>767</v>
      </c>
      <c r="C391" s="64" t="s">
        <v>884</v>
      </c>
      <c r="D391" s="65"/>
      <c r="E391" s="107"/>
      <c r="F391" s="107"/>
      <c r="G391" s="105"/>
      <c r="H391" s="106"/>
    </row>
    <row r="392" spans="1:8" ht="18.75" x14ac:dyDescent="0.25">
      <c r="A392" s="62" t="s">
        <v>768</v>
      </c>
      <c r="B392" s="73" t="s">
        <v>134</v>
      </c>
      <c r="C392" s="64" t="s">
        <v>884</v>
      </c>
      <c r="D392" s="65"/>
      <c r="E392" s="107"/>
      <c r="F392" s="107"/>
      <c r="G392" s="105"/>
      <c r="H392" s="106"/>
    </row>
    <row r="393" spans="1:8" ht="18.75" x14ac:dyDescent="0.25">
      <c r="A393" s="62" t="s">
        <v>769</v>
      </c>
      <c r="B393" s="108" t="s">
        <v>135</v>
      </c>
      <c r="C393" s="64" t="s">
        <v>884</v>
      </c>
      <c r="D393" s="65"/>
      <c r="E393" s="107"/>
      <c r="F393" s="107"/>
      <c r="G393" s="105"/>
      <c r="H393" s="106"/>
    </row>
    <row r="394" spans="1:8" ht="31.5" x14ac:dyDescent="0.25">
      <c r="A394" s="62" t="s">
        <v>136</v>
      </c>
      <c r="B394" s="70" t="s">
        <v>770</v>
      </c>
      <c r="C394" s="64" t="s">
        <v>884</v>
      </c>
      <c r="D394" s="65"/>
      <c r="E394" s="104"/>
      <c r="F394" s="104"/>
      <c r="G394" s="105"/>
      <c r="H394" s="106"/>
    </row>
    <row r="395" spans="1:8" ht="31.5" x14ac:dyDescent="0.25">
      <c r="A395" s="62" t="s">
        <v>771</v>
      </c>
      <c r="B395" s="72" t="s">
        <v>232</v>
      </c>
      <c r="C395" s="64" t="s">
        <v>884</v>
      </c>
      <c r="D395" s="65"/>
      <c r="E395" s="104"/>
      <c r="F395" s="104"/>
      <c r="G395" s="105"/>
      <c r="H395" s="106"/>
    </row>
    <row r="396" spans="1:8" ht="31.5" x14ac:dyDescent="0.25">
      <c r="A396" s="62" t="s">
        <v>772</v>
      </c>
      <c r="B396" s="72" t="s">
        <v>233</v>
      </c>
      <c r="C396" s="64" t="s">
        <v>884</v>
      </c>
      <c r="D396" s="65"/>
      <c r="E396" s="104"/>
      <c r="F396" s="104"/>
      <c r="G396" s="105"/>
      <c r="H396" s="106"/>
    </row>
    <row r="397" spans="1:8" ht="31.5" x14ac:dyDescent="0.25">
      <c r="A397" s="62" t="s">
        <v>773</v>
      </c>
      <c r="B397" s="72" t="s">
        <v>234</v>
      </c>
      <c r="C397" s="64" t="s">
        <v>884</v>
      </c>
      <c r="D397" s="65"/>
      <c r="E397" s="104"/>
      <c r="F397" s="104"/>
      <c r="G397" s="105"/>
      <c r="H397" s="106"/>
    </row>
    <row r="398" spans="1:8" ht="18.75" x14ac:dyDescent="0.25">
      <c r="A398" s="62" t="s">
        <v>137</v>
      </c>
      <c r="B398" s="70" t="s">
        <v>774</v>
      </c>
      <c r="C398" s="64" t="s">
        <v>884</v>
      </c>
      <c r="D398" s="65"/>
      <c r="E398" s="104"/>
      <c r="F398" s="104"/>
      <c r="G398" s="105"/>
      <c r="H398" s="106"/>
    </row>
    <row r="399" spans="1:8" ht="18.75" x14ac:dyDescent="0.25">
      <c r="A399" s="62" t="s">
        <v>139</v>
      </c>
      <c r="B399" s="71" t="s">
        <v>775</v>
      </c>
      <c r="C399" s="64" t="s">
        <v>884</v>
      </c>
      <c r="D399" s="65"/>
      <c r="E399" s="104"/>
      <c r="F399" s="104"/>
      <c r="G399" s="105"/>
      <c r="H399" s="106"/>
    </row>
    <row r="400" spans="1:8" ht="18.75" x14ac:dyDescent="0.25">
      <c r="A400" s="62" t="s">
        <v>140</v>
      </c>
      <c r="B400" s="70" t="s">
        <v>776</v>
      </c>
      <c r="C400" s="64" t="s">
        <v>884</v>
      </c>
      <c r="D400" s="65"/>
      <c r="E400" s="107"/>
      <c r="F400" s="107"/>
      <c r="G400" s="105"/>
      <c r="H400" s="106"/>
    </row>
    <row r="401" spans="1:8" ht="18.75" x14ac:dyDescent="0.25">
      <c r="A401" s="62" t="s">
        <v>141</v>
      </c>
      <c r="B401" s="72" t="s">
        <v>125</v>
      </c>
      <c r="C401" s="64" t="s">
        <v>884</v>
      </c>
      <c r="D401" s="65"/>
      <c r="E401" s="107"/>
      <c r="F401" s="107"/>
      <c r="G401" s="105"/>
      <c r="H401" s="106"/>
    </row>
    <row r="402" spans="1:8" ht="31.5" x14ac:dyDescent="0.25">
      <c r="A402" s="62" t="s">
        <v>777</v>
      </c>
      <c r="B402" s="72" t="s">
        <v>232</v>
      </c>
      <c r="C402" s="64" t="s">
        <v>884</v>
      </c>
      <c r="D402" s="65"/>
      <c r="E402" s="107"/>
      <c r="F402" s="107"/>
      <c r="G402" s="105"/>
      <c r="H402" s="106"/>
    </row>
    <row r="403" spans="1:8" ht="31.5" x14ac:dyDescent="0.25">
      <c r="A403" s="62" t="s">
        <v>778</v>
      </c>
      <c r="B403" s="72" t="s">
        <v>233</v>
      </c>
      <c r="C403" s="64" t="s">
        <v>884</v>
      </c>
      <c r="D403" s="65"/>
      <c r="E403" s="107"/>
      <c r="F403" s="107"/>
      <c r="G403" s="105"/>
      <c r="H403" s="106"/>
    </row>
    <row r="404" spans="1:8" ht="31.5" x14ac:dyDescent="0.25">
      <c r="A404" s="62" t="s">
        <v>779</v>
      </c>
      <c r="B404" s="72" t="s">
        <v>234</v>
      </c>
      <c r="C404" s="64" t="s">
        <v>884</v>
      </c>
      <c r="D404" s="65"/>
      <c r="E404" s="107"/>
      <c r="F404" s="107"/>
      <c r="G404" s="105"/>
      <c r="H404" s="106"/>
    </row>
    <row r="405" spans="1:8" ht="18.75" x14ac:dyDescent="0.25">
      <c r="A405" s="62" t="s">
        <v>142</v>
      </c>
      <c r="B405" s="72" t="s">
        <v>572</v>
      </c>
      <c r="C405" s="64" t="s">
        <v>884</v>
      </c>
      <c r="D405" s="65"/>
      <c r="E405" s="107"/>
      <c r="F405" s="107"/>
      <c r="G405" s="105"/>
      <c r="H405" s="106"/>
    </row>
    <row r="406" spans="1:8" ht="18.75" x14ac:dyDescent="0.25">
      <c r="A406" s="62" t="s">
        <v>143</v>
      </c>
      <c r="B406" s="72" t="s">
        <v>127</v>
      </c>
      <c r="C406" s="64" t="s">
        <v>884</v>
      </c>
      <c r="D406" s="65"/>
      <c r="E406" s="107"/>
      <c r="F406" s="107"/>
      <c r="G406" s="105"/>
      <c r="H406" s="106"/>
    </row>
    <row r="407" spans="1:8" ht="18.75" x14ac:dyDescent="0.25">
      <c r="A407" s="62" t="s">
        <v>144</v>
      </c>
      <c r="B407" s="72" t="s">
        <v>577</v>
      </c>
      <c r="C407" s="64" t="s">
        <v>884</v>
      </c>
      <c r="D407" s="65"/>
      <c r="E407" s="107"/>
      <c r="F407" s="107"/>
      <c r="G407" s="105"/>
      <c r="H407" s="106"/>
    </row>
    <row r="408" spans="1:8" ht="18.75" x14ac:dyDescent="0.25">
      <c r="A408" s="62" t="s">
        <v>145</v>
      </c>
      <c r="B408" s="72" t="s">
        <v>129</v>
      </c>
      <c r="C408" s="64" t="s">
        <v>884</v>
      </c>
      <c r="D408" s="65"/>
      <c r="E408" s="107"/>
      <c r="F408" s="107"/>
      <c r="G408" s="105"/>
      <c r="H408" s="106"/>
    </row>
    <row r="409" spans="1:8" ht="18.75" x14ac:dyDescent="0.25">
      <c r="A409" s="62" t="s">
        <v>146</v>
      </c>
      <c r="B409" s="72" t="s">
        <v>584</v>
      </c>
      <c r="C409" s="64" t="s">
        <v>884</v>
      </c>
      <c r="D409" s="65"/>
      <c r="E409" s="107"/>
      <c r="F409" s="107"/>
      <c r="G409" s="105"/>
      <c r="H409" s="106"/>
    </row>
    <row r="410" spans="1:8" ht="31.5" x14ac:dyDescent="0.25">
      <c r="A410" s="62" t="s">
        <v>147</v>
      </c>
      <c r="B410" s="72" t="s">
        <v>587</v>
      </c>
      <c r="C410" s="64" t="s">
        <v>884</v>
      </c>
      <c r="D410" s="65"/>
      <c r="E410" s="107"/>
      <c r="F410" s="107"/>
      <c r="G410" s="105"/>
      <c r="H410" s="106"/>
    </row>
    <row r="411" spans="1:8" ht="18.75" x14ac:dyDescent="0.25">
      <c r="A411" s="62" t="s">
        <v>148</v>
      </c>
      <c r="B411" s="73" t="s">
        <v>134</v>
      </c>
      <c r="C411" s="64" t="s">
        <v>884</v>
      </c>
      <c r="D411" s="65"/>
      <c r="E411" s="107"/>
      <c r="F411" s="107"/>
      <c r="G411" s="105"/>
      <c r="H411" s="106"/>
    </row>
    <row r="412" spans="1:8" ht="18.75" x14ac:dyDescent="0.25">
      <c r="A412" s="62" t="s">
        <v>149</v>
      </c>
      <c r="B412" s="108" t="s">
        <v>135</v>
      </c>
      <c r="C412" s="64" t="s">
        <v>884</v>
      </c>
      <c r="D412" s="65"/>
      <c r="E412" s="107"/>
      <c r="F412" s="107"/>
      <c r="G412" s="105"/>
      <c r="H412" s="106"/>
    </row>
    <row r="413" spans="1:8" ht="18.75" x14ac:dyDescent="0.25">
      <c r="A413" s="62" t="s">
        <v>150</v>
      </c>
      <c r="B413" s="70" t="s">
        <v>780</v>
      </c>
      <c r="C413" s="64" t="s">
        <v>884</v>
      </c>
      <c r="D413" s="65"/>
      <c r="E413" s="104"/>
      <c r="F413" s="104"/>
      <c r="G413" s="105"/>
      <c r="H413" s="106"/>
    </row>
    <row r="414" spans="1:8" ht="18.75" x14ac:dyDescent="0.25">
      <c r="A414" s="62" t="s">
        <v>151</v>
      </c>
      <c r="B414" s="70" t="s">
        <v>152</v>
      </c>
      <c r="C414" s="64" t="s">
        <v>884</v>
      </c>
      <c r="D414" s="65"/>
      <c r="E414" s="104"/>
      <c r="F414" s="104"/>
      <c r="G414" s="105"/>
      <c r="H414" s="106"/>
    </row>
    <row r="415" spans="1:8" ht="18.75" x14ac:dyDescent="0.25">
      <c r="A415" s="62" t="s">
        <v>153</v>
      </c>
      <c r="B415" s="72" t="s">
        <v>125</v>
      </c>
      <c r="C415" s="64" t="s">
        <v>884</v>
      </c>
      <c r="D415" s="65"/>
      <c r="E415" s="104"/>
      <c r="F415" s="104"/>
      <c r="G415" s="105"/>
      <c r="H415" s="106"/>
    </row>
    <row r="416" spans="1:8" ht="31.5" x14ac:dyDescent="0.25">
      <c r="A416" s="62" t="s">
        <v>781</v>
      </c>
      <c r="B416" s="72" t="s">
        <v>232</v>
      </c>
      <c r="C416" s="64" t="s">
        <v>884</v>
      </c>
      <c r="D416" s="65"/>
      <c r="E416" s="104"/>
      <c r="F416" s="104"/>
      <c r="G416" s="105"/>
      <c r="H416" s="106"/>
    </row>
    <row r="417" spans="1:10" ht="31.5" x14ac:dyDescent="0.25">
      <c r="A417" s="62" t="s">
        <v>782</v>
      </c>
      <c r="B417" s="72" t="s">
        <v>233</v>
      </c>
      <c r="C417" s="64" t="s">
        <v>884</v>
      </c>
      <c r="D417" s="65"/>
      <c r="E417" s="104"/>
      <c r="F417" s="104"/>
      <c r="G417" s="105"/>
      <c r="H417" s="106"/>
    </row>
    <row r="418" spans="1:10" ht="31.5" x14ac:dyDescent="0.25">
      <c r="A418" s="62" t="s">
        <v>783</v>
      </c>
      <c r="B418" s="72" t="s">
        <v>234</v>
      </c>
      <c r="C418" s="64" t="s">
        <v>884</v>
      </c>
      <c r="D418" s="65"/>
      <c r="E418" s="104"/>
      <c r="F418" s="104"/>
      <c r="G418" s="105"/>
      <c r="H418" s="106"/>
    </row>
    <row r="419" spans="1:10" ht="18.75" x14ac:dyDescent="0.25">
      <c r="A419" s="62" t="s">
        <v>154</v>
      </c>
      <c r="B419" s="72" t="s">
        <v>572</v>
      </c>
      <c r="C419" s="64" t="s">
        <v>884</v>
      </c>
      <c r="D419" s="65"/>
      <c r="E419" s="104"/>
      <c r="F419" s="104"/>
      <c r="G419" s="105"/>
      <c r="H419" s="106"/>
    </row>
    <row r="420" spans="1:10" ht="18.75" x14ac:dyDescent="0.25">
      <c r="A420" s="62" t="s">
        <v>155</v>
      </c>
      <c r="B420" s="72" t="s">
        <v>127</v>
      </c>
      <c r="C420" s="64" t="s">
        <v>884</v>
      </c>
      <c r="D420" s="65"/>
      <c r="E420" s="104"/>
      <c r="F420" s="104"/>
      <c r="G420" s="105"/>
      <c r="H420" s="106"/>
    </row>
    <row r="421" spans="1:10" ht="18.75" x14ac:dyDescent="0.25">
      <c r="A421" s="62" t="s">
        <v>156</v>
      </c>
      <c r="B421" s="72" t="s">
        <v>577</v>
      </c>
      <c r="C421" s="64" t="s">
        <v>884</v>
      </c>
      <c r="D421" s="65"/>
      <c r="E421" s="104"/>
      <c r="F421" s="104"/>
      <c r="G421" s="105"/>
      <c r="H421" s="106"/>
    </row>
    <row r="422" spans="1:10" ht="18.75" x14ac:dyDescent="0.25">
      <c r="A422" s="62" t="s">
        <v>157</v>
      </c>
      <c r="B422" s="72" t="s">
        <v>129</v>
      </c>
      <c r="C422" s="64" t="s">
        <v>884</v>
      </c>
      <c r="D422" s="65"/>
      <c r="E422" s="104"/>
      <c r="F422" s="104"/>
      <c r="G422" s="105"/>
      <c r="H422" s="106"/>
    </row>
    <row r="423" spans="1:10" ht="18.75" x14ac:dyDescent="0.25">
      <c r="A423" s="62" t="s">
        <v>158</v>
      </c>
      <c r="B423" s="72" t="s">
        <v>584</v>
      </c>
      <c r="C423" s="64" t="s">
        <v>884</v>
      </c>
      <c r="D423" s="65"/>
      <c r="E423" s="104"/>
      <c r="F423" s="104"/>
      <c r="G423" s="105"/>
      <c r="H423" s="106"/>
    </row>
    <row r="424" spans="1:10" ht="31.5" x14ac:dyDescent="0.25">
      <c r="A424" s="62" t="s">
        <v>159</v>
      </c>
      <c r="B424" s="72" t="s">
        <v>587</v>
      </c>
      <c r="C424" s="64" t="s">
        <v>884</v>
      </c>
      <c r="D424" s="65"/>
      <c r="E424" s="104"/>
      <c r="F424" s="104"/>
      <c r="G424" s="105"/>
      <c r="H424" s="106"/>
    </row>
    <row r="425" spans="1:10" ht="18.75" x14ac:dyDescent="0.25">
      <c r="A425" s="62" t="s">
        <v>160</v>
      </c>
      <c r="B425" s="108" t="s">
        <v>134</v>
      </c>
      <c r="C425" s="64" t="s">
        <v>884</v>
      </c>
      <c r="D425" s="65"/>
      <c r="E425" s="104"/>
      <c r="F425" s="104"/>
      <c r="G425" s="105"/>
      <c r="H425" s="106"/>
    </row>
    <row r="426" spans="1:10" ht="18.75" x14ac:dyDescent="0.25">
      <c r="A426" s="62" t="s">
        <v>161</v>
      </c>
      <c r="B426" s="108" t="s">
        <v>135</v>
      </c>
      <c r="C426" s="64" t="s">
        <v>884</v>
      </c>
      <c r="D426" s="65"/>
      <c r="E426" s="104"/>
      <c r="F426" s="104"/>
      <c r="G426" s="105"/>
      <c r="H426" s="106"/>
    </row>
    <row r="427" spans="1:10" ht="18.75" x14ac:dyDescent="0.25">
      <c r="A427" s="62" t="s">
        <v>162</v>
      </c>
      <c r="B427" s="71" t="s">
        <v>784</v>
      </c>
      <c r="C427" s="64" t="s">
        <v>884</v>
      </c>
      <c r="D427" s="65"/>
      <c r="E427" s="104"/>
      <c r="F427" s="104"/>
      <c r="G427" s="109"/>
      <c r="H427" s="106"/>
    </row>
    <row r="428" spans="1:10" ht="18.75" x14ac:dyDescent="0.25">
      <c r="A428" s="62" t="s">
        <v>163</v>
      </c>
      <c r="B428" s="71" t="s">
        <v>785</v>
      </c>
      <c r="C428" s="64" t="s">
        <v>884</v>
      </c>
      <c r="D428" s="65"/>
      <c r="E428" s="104"/>
      <c r="F428" s="104"/>
      <c r="G428" s="105"/>
      <c r="H428" s="106"/>
    </row>
    <row r="429" spans="1:10" ht="18.75" x14ac:dyDescent="0.3">
      <c r="A429" s="62" t="s">
        <v>164</v>
      </c>
      <c r="B429" s="70" t="s">
        <v>786</v>
      </c>
      <c r="C429" s="64" t="s">
        <v>884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165</v>
      </c>
      <c r="B430" s="70" t="s">
        <v>166</v>
      </c>
      <c r="C430" s="64" t="s">
        <v>884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167</v>
      </c>
      <c r="B431" s="103" t="s">
        <v>168</v>
      </c>
      <c r="C431" s="64" t="s">
        <v>884</v>
      </c>
      <c r="D431" s="65"/>
      <c r="E431" s="104"/>
      <c r="F431" s="104"/>
      <c r="G431" s="105"/>
      <c r="H431" s="106"/>
    </row>
    <row r="432" spans="1:10" ht="18.75" x14ac:dyDescent="0.25">
      <c r="A432" s="62" t="s">
        <v>169</v>
      </c>
      <c r="B432" s="71" t="s">
        <v>170</v>
      </c>
      <c r="C432" s="64" t="s">
        <v>884</v>
      </c>
      <c r="D432" s="65"/>
      <c r="E432" s="104"/>
      <c r="F432" s="104"/>
      <c r="G432" s="105"/>
      <c r="H432" s="106"/>
    </row>
    <row r="433" spans="1:8" ht="18.75" x14ac:dyDescent="0.25">
      <c r="A433" s="62" t="s">
        <v>171</v>
      </c>
      <c r="B433" s="71" t="s">
        <v>172</v>
      </c>
      <c r="C433" s="64" t="s">
        <v>884</v>
      </c>
      <c r="D433" s="65"/>
      <c r="E433" s="104"/>
      <c r="F433" s="104"/>
      <c r="G433" s="105"/>
      <c r="H433" s="106"/>
    </row>
    <row r="434" spans="1:8" ht="18.75" x14ac:dyDescent="0.25">
      <c r="A434" s="62" t="s">
        <v>173</v>
      </c>
      <c r="B434" s="71" t="s">
        <v>787</v>
      </c>
      <c r="C434" s="64" t="s">
        <v>884</v>
      </c>
      <c r="D434" s="65"/>
      <c r="E434" s="104"/>
      <c r="F434" s="104"/>
      <c r="G434" s="105"/>
      <c r="H434" s="106"/>
    </row>
    <row r="435" spans="1:8" ht="18.75" x14ac:dyDescent="0.25">
      <c r="A435" s="62" t="s">
        <v>174</v>
      </c>
      <c r="B435" s="71" t="s">
        <v>175</v>
      </c>
      <c r="C435" s="64" t="s">
        <v>884</v>
      </c>
      <c r="D435" s="65"/>
      <c r="E435" s="104"/>
      <c r="F435" s="104"/>
      <c r="G435" s="105"/>
      <c r="H435" s="106"/>
    </row>
    <row r="436" spans="1:8" ht="18.75" x14ac:dyDescent="0.25">
      <c r="A436" s="62" t="s">
        <v>176</v>
      </c>
      <c r="B436" s="71" t="s">
        <v>177</v>
      </c>
      <c r="C436" s="64" t="s">
        <v>884</v>
      </c>
      <c r="D436" s="65"/>
      <c r="E436" s="104"/>
      <c r="F436" s="104"/>
      <c r="G436" s="105"/>
      <c r="H436" s="106"/>
    </row>
    <row r="437" spans="1:8" ht="18.75" x14ac:dyDescent="0.25">
      <c r="A437" s="62" t="s">
        <v>178</v>
      </c>
      <c r="B437" s="70" t="s">
        <v>179</v>
      </c>
      <c r="C437" s="64" t="s">
        <v>884</v>
      </c>
      <c r="D437" s="65"/>
      <c r="E437" s="104"/>
      <c r="F437" s="104"/>
      <c r="G437" s="105"/>
      <c r="H437" s="106"/>
    </row>
    <row r="438" spans="1:8" ht="31.5" x14ac:dyDescent="0.25">
      <c r="A438" s="62" t="s">
        <v>180</v>
      </c>
      <c r="B438" s="72" t="s">
        <v>181</v>
      </c>
      <c r="C438" s="64" t="s">
        <v>884</v>
      </c>
      <c r="D438" s="65"/>
      <c r="E438" s="113"/>
      <c r="F438" s="113"/>
      <c r="G438" s="105"/>
      <c r="H438" s="106"/>
    </row>
    <row r="439" spans="1:8" ht="18.75" x14ac:dyDescent="0.25">
      <c r="A439" s="62" t="s">
        <v>182</v>
      </c>
      <c r="B439" s="70" t="s">
        <v>183</v>
      </c>
      <c r="C439" s="64" t="s">
        <v>884</v>
      </c>
      <c r="D439" s="65"/>
      <c r="E439" s="113"/>
      <c r="F439" s="113"/>
      <c r="G439" s="105"/>
      <c r="H439" s="106"/>
    </row>
    <row r="440" spans="1:8" ht="31.5" x14ac:dyDescent="0.25">
      <c r="A440" s="62" t="s">
        <v>184</v>
      </c>
      <c r="B440" s="72" t="s">
        <v>185</v>
      </c>
      <c r="C440" s="64" t="s">
        <v>884</v>
      </c>
      <c r="D440" s="65"/>
      <c r="E440" s="113"/>
      <c r="F440" s="113"/>
      <c r="G440" s="105"/>
      <c r="H440" s="106"/>
    </row>
    <row r="441" spans="1:8" ht="18.75" x14ac:dyDescent="0.25">
      <c r="A441" s="62" t="s">
        <v>186</v>
      </c>
      <c r="B441" s="71" t="s">
        <v>187</v>
      </c>
      <c r="C441" s="64" t="s">
        <v>884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188</v>
      </c>
      <c r="B442" s="114" t="s">
        <v>189</v>
      </c>
      <c r="C442" s="76" t="s">
        <v>884</v>
      </c>
      <c r="D442" s="77"/>
      <c r="E442" s="115"/>
      <c r="F442" s="115"/>
      <c r="G442" s="116"/>
      <c r="H442" s="117"/>
    </row>
    <row r="443" spans="1:8" x14ac:dyDescent="0.25">
      <c r="A443" s="56" t="s">
        <v>309</v>
      </c>
      <c r="B443" s="57" t="s">
        <v>302</v>
      </c>
      <c r="C443" s="118" t="s">
        <v>400</v>
      </c>
      <c r="D443" s="119"/>
      <c r="E443" s="120"/>
      <c r="F443" s="120"/>
      <c r="G443" s="121"/>
      <c r="H443" s="122"/>
    </row>
    <row r="444" spans="1:8" ht="47.25" x14ac:dyDescent="0.25">
      <c r="A444" s="123" t="s">
        <v>788</v>
      </c>
      <c r="B444" s="71" t="s">
        <v>789</v>
      </c>
      <c r="C444" s="76" t="s">
        <v>884</v>
      </c>
      <c r="D444" s="77"/>
      <c r="E444" s="124"/>
      <c r="F444" s="124"/>
      <c r="G444" s="125"/>
      <c r="H444" s="126"/>
    </row>
    <row r="445" spans="1:8" x14ac:dyDescent="0.25">
      <c r="A445" s="123" t="s">
        <v>312</v>
      </c>
      <c r="B445" s="70" t="s">
        <v>790</v>
      </c>
      <c r="C445" s="64" t="s">
        <v>884</v>
      </c>
      <c r="D445" s="65"/>
      <c r="E445" s="124"/>
      <c r="F445" s="124"/>
      <c r="G445" s="125"/>
      <c r="H445" s="126"/>
    </row>
    <row r="446" spans="1:8" ht="31.5" x14ac:dyDescent="0.25">
      <c r="A446" s="123" t="s">
        <v>313</v>
      </c>
      <c r="B446" s="70" t="s">
        <v>791</v>
      </c>
      <c r="C446" s="76" t="s">
        <v>884</v>
      </c>
      <c r="D446" s="77"/>
      <c r="E446" s="124"/>
      <c r="F446" s="124"/>
      <c r="G446" s="125"/>
      <c r="H446" s="126"/>
    </row>
    <row r="447" spans="1:8" x14ac:dyDescent="0.25">
      <c r="A447" s="123" t="s">
        <v>314</v>
      </c>
      <c r="B447" s="70" t="s">
        <v>792</v>
      </c>
      <c r="C447" s="76" t="s">
        <v>884</v>
      </c>
      <c r="D447" s="77"/>
      <c r="E447" s="124"/>
      <c r="F447" s="124"/>
      <c r="G447" s="125"/>
      <c r="H447" s="126"/>
    </row>
    <row r="448" spans="1:8" ht="31.5" x14ac:dyDescent="0.25">
      <c r="A448" s="123" t="s">
        <v>315</v>
      </c>
      <c r="B448" s="71" t="s">
        <v>793</v>
      </c>
      <c r="C448" s="94" t="s">
        <v>400</v>
      </c>
      <c r="D448" s="127"/>
      <c r="E448" s="124"/>
      <c r="F448" s="124"/>
      <c r="G448" s="125"/>
      <c r="H448" s="126"/>
    </row>
    <row r="449" spans="1:8" x14ac:dyDescent="0.25">
      <c r="A449" s="123" t="s">
        <v>794</v>
      </c>
      <c r="B449" s="70" t="s">
        <v>795</v>
      </c>
      <c r="C449" s="76" t="s">
        <v>884</v>
      </c>
      <c r="D449" s="77"/>
      <c r="E449" s="124"/>
      <c r="F449" s="124"/>
      <c r="G449" s="125"/>
      <c r="H449" s="126"/>
    </row>
    <row r="450" spans="1:8" x14ac:dyDescent="0.25">
      <c r="A450" s="123" t="s">
        <v>796</v>
      </c>
      <c r="B450" s="70" t="s">
        <v>797</v>
      </c>
      <c r="C450" s="76" t="s">
        <v>884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798</v>
      </c>
      <c r="B451" s="129" t="s">
        <v>799</v>
      </c>
      <c r="C451" s="81" t="s">
        <v>884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800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419" t="s">
        <v>801</v>
      </c>
      <c r="B455" s="419"/>
      <c r="C455" s="419"/>
      <c r="D455" s="419"/>
      <c r="E455" s="419"/>
      <c r="F455" s="419"/>
      <c r="G455" s="419"/>
      <c r="H455" s="419"/>
    </row>
    <row r="456" spans="1:8" x14ac:dyDescent="0.25">
      <c r="A456" s="419" t="s">
        <v>802</v>
      </c>
      <c r="B456" s="419"/>
      <c r="C456" s="419"/>
      <c r="D456" s="419"/>
      <c r="E456" s="419"/>
      <c r="F456" s="419"/>
      <c r="G456" s="419"/>
      <c r="H456" s="419"/>
    </row>
    <row r="457" spans="1:8" x14ac:dyDescent="0.25">
      <c r="A457" s="419" t="s">
        <v>803</v>
      </c>
      <c r="B457" s="419"/>
      <c r="C457" s="419"/>
      <c r="D457" s="419"/>
      <c r="E457" s="419"/>
      <c r="F457" s="419"/>
      <c r="G457" s="419"/>
      <c r="H457" s="419"/>
    </row>
    <row r="458" spans="1:8" ht="26.25" customHeight="1" x14ac:dyDescent="0.25">
      <c r="A458" s="398" t="s">
        <v>804</v>
      </c>
      <c r="B458" s="398"/>
      <c r="C458" s="398"/>
      <c r="D458" s="398"/>
      <c r="E458" s="398"/>
      <c r="F458" s="398"/>
      <c r="G458" s="398"/>
      <c r="H458" s="398"/>
    </row>
    <row r="459" spans="1:8" x14ac:dyDescent="0.25">
      <c r="A459" s="411" t="s">
        <v>805</v>
      </c>
      <c r="B459" s="411"/>
      <c r="C459" s="411"/>
      <c r="D459" s="411"/>
      <c r="E459" s="411"/>
      <c r="F459" s="411"/>
      <c r="G459" s="411"/>
      <c r="H459" s="41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17 осн этапы ИП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17 осн этапы ИП'!Область_печати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2018-11-13T05:59:19Z</cp:lastPrinted>
  <dcterms:created xsi:type="dcterms:W3CDTF">2009-07-27T10:10:26Z</dcterms:created>
  <dcterms:modified xsi:type="dcterms:W3CDTF">2021-02-02T07:10:09Z</dcterms:modified>
</cp:coreProperties>
</file>